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05" windowHeight="6795" tabRatio="662" activeTab="0"/>
  </bookViews>
  <sheets>
    <sheet name="PROF LIBERALE" sheetId="1" r:id="rId1"/>
    <sheet name="COMMERCANT" sheetId="2" r:id="rId2"/>
    <sheet name="AGRICOLE" sheetId="3" r:id="rId3"/>
  </sheets>
  <definedNames>
    <definedName name="_xlnm.Print_Area" localSheetId="2">'AGRICOLE'!$A$1:$N$53</definedName>
    <definedName name="_xlnm.Print_Area" localSheetId="1">'COMMERCANT'!$A$1:$N$53</definedName>
    <definedName name="_xlnm.Print_Area" localSheetId="0">'PROF LIBERALE'!$A$1:$N$52</definedName>
  </definedNames>
  <calcPr fullCalcOnLoad="1"/>
</workbook>
</file>

<file path=xl/sharedStrings.xml><?xml version="1.0" encoding="utf-8"?>
<sst xmlns="http://schemas.openxmlformats.org/spreadsheetml/2006/main" count="248" uniqueCount="120">
  <si>
    <t>Montant</t>
  </si>
  <si>
    <t>Bénéfice</t>
  </si>
  <si>
    <t>Total Soumis à Cotisation</t>
  </si>
  <si>
    <t>Base</t>
  </si>
  <si>
    <t>URSSAF</t>
  </si>
  <si>
    <t>CAISSE D'ASSURANCE MALADIE</t>
  </si>
  <si>
    <t>Contribution à la Formation</t>
  </si>
  <si>
    <t xml:space="preserve">Réduction </t>
  </si>
  <si>
    <t>à demander</t>
  </si>
  <si>
    <t>possible</t>
  </si>
  <si>
    <t>En cas de revenu "Ski" intégré au BNC</t>
  </si>
  <si>
    <t>Ch Soc. Compl</t>
  </si>
  <si>
    <t>Retraite de Base</t>
  </si>
  <si>
    <t>Retraite Complém.</t>
  </si>
  <si>
    <t>Rev 2003</t>
  </si>
  <si>
    <t>Base Retenue</t>
  </si>
  <si>
    <t>REVENU DECLARE</t>
  </si>
  <si>
    <t>Rev 2004</t>
  </si>
  <si>
    <t xml:space="preserve">REAJUSTEMENT/2006 sur le dû réellement/2004 </t>
  </si>
  <si>
    <t>Invalidité décès Forfait</t>
  </si>
  <si>
    <t>Base de calcul cot° définitive</t>
  </si>
  <si>
    <t>Cot° Sociales</t>
  </si>
  <si>
    <t>CSG RDS 8%</t>
  </si>
  <si>
    <t>Contribution Formation</t>
  </si>
  <si>
    <t xml:space="preserve">CIPAV </t>
  </si>
  <si>
    <t xml:space="preserve">Base </t>
  </si>
  <si>
    <t>Recettes avant toute déduction</t>
  </si>
  <si>
    <t>(= Madelin)</t>
  </si>
  <si>
    <t>TOTAL CUMULE</t>
  </si>
  <si>
    <t>soit un pourcentage de</t>
  </si>
  <si>
    <t>TOTAL URSSAF</t>
  </si>
  <si>
    <t>TOTAL MALADIE</t>
  </si>
  <si>
    <t xml:space="preserve"> </t>
  </si>
  <si>
    <t>Calculé avec 50% de charges</t>
  </si>
  <si>
    <t>Alloc Fam 2,15%</t>
  </si>
  <si>
    <t>cotisation à la retraite de base</t>
  </si>
  <si>
    <t>Je rentre ici mes recettes (chiffre d'affaires) avant toute déduction,</t>
  </si>
  <si>
    <t>Le tableur calcule ici le montant de cotisation si je suis AE</t>
  </si>
  <si>
    <t>Le tableur calcule ici le montant de mon revenu imposable en situation AE</t>
  </si>
  <si>
    <t>Ici, je rentre mes charges sociales payées (si j'avais déjà une activité)</t>
  </si>
  <si>
    <t>En bas, en case rose, j'obtiens le calcul des cotisations dues en régime classique,</t>
  </si>
  <si>
    <t>Mes cotisations sociales en régime classique</t>
  </si>
  <si>
    <t xml:space="preserve">ET permet de valider 3 trimestres de </t>
  </si>
  <si>
    <t>NB</t>
  </si>
  <si>
    <t>SIMULATION CHARGES PROFESSIONS LIBERALES</t>
  </si>
  <si>
    <t>Ici, je rentre mes "Madelin" : Mutuelle/indem Journ,, non déductibles pour le calcul des ch. Sociales</t>
  </si>
  <si>
    <t>Charges sociales obligatoires payées</t>
  </si>
  <si>
    <t>8,23%+1,87%</t>
  </si>
  <si>
    <t>Rev.2015 &lt; 5 792</t>
  </si>
  <si>
    <t>Rev. 2015&lt; 23170</t>
  </si>
  <si>
    <t>Décret à paraître pour moduler le taux des cotisation de 3% à 6,50% selon les revenus</t>
  </si>
  <si>
    <t>RESULTAT</t>
  </si>
  <si>
    <t>Pour un bénéfice imposable de</t>
  </si>
  <si>
    <t>SI JE BENEFICIE DE L'ACCRE</t>
  </si>
  <si>
    <t>1ere année régime classique reste la CSG</t>
  </si>
  <si>
    <t>exonération sur 12 mois en tout</t>
  </si>
  <si>
    <t>Mes cotisations sociales en régime micro entrepreneur</t>
  </si>
  <si>
    <t>1ere année en régime micro entrepreneur</t>
  </si>
  <si>
    <t>Réduction de 75% puis de 50% puis de 25% sur 36 mois en tout</t>
  </si>
  <si>
    <t xml:space="preserve">Bénéfice </t>
  </si>
  <si>
    <t>des recettes</t>
  </si>
  <si>
    <t>Invalidité décès 76€ Cl1 incluse dans le calcul</t>
  </si>
  <si>
    <t>TOTAL CIPAV</t>
  </si>
  <si>
    <t xml:space="preserve">SIMULATION AU REGIME MICRO SOCIAL </t>
  </si>
  <si>
    <t>COMPARATIF REGIME MICRO ET REGIME CLASSIQUE</t>
  </si>
  <si>
    <t>en bas du tableau, MAIS je peux rentrer une somme calculée par mes soins à la place</t>
  </si>
  <si>
    <t xml:space="preserve">Ici le bénéfice se calcule automatiquement avec 50% de charges sur la base des recettes saisies </t>
  </si>
  <si>
    <t>ET 2018 BAISSE DE 1,5% SELON PLFSS</t>
  </si>
  <si>
    <t>Rev. 2016&lt; 11 768</t>
  </si>
  <si>
    <t>Rev. 2016&lt; 17 653</t>
  </si>
  <si>
    <t>SUR 1277€</t>
  </si>
  <si>
    <t>SIMULATION CHARGES COMMERCANT</t>
  </si>
  <si>
    <t>COTISATION D'ASSURANCE MALADIE</t>
  </si>
  <si>
    <t>SIMULATION A 5% (6,50-1,50)</t>
  </si>
  <si>
    <t>Cot. Indemnités journalières Mini si &lt;15691€</t>
  </si>
  <si>
    <t>COTISATION URSSAF</t>
  </si>
  <si>
    <t>COTISATION RETRAITE</t>
  </si>
  <si>
    <t>TOTAL RETRAITE</t>
  </si>
  <si>
    <t>Cotisation minimale si &lt; 4511€</t>
  </si>
  <si>
    <t>La cotis° proport. s'applique aux revenus &gt; 4 511 €</t>
  </si>
  <si>
    <t>Inv Décès</t>
  </si>
  <si>
    <t>COMPARATIF AVEC LE REGIME LIBERAL</t>
  </si>
  <si>
    <t>IMPACT BAISSE 2018 INCONNU A CE JOUR</t>
  </si>
  <si>
    <t>ssurance Vieillesse Individuelle</t>
  </si>
  <si>
    <t>AVI</t>
  </si>
  <si>
    <t>AVA P</t>
  </si>
  <si>
    <t>AVA D</t>
  </si>
  <si>
    <t>Assurance Vieillesse Agricole Plafonnée</t>
  </si>
  <si>
    <t>COTISATION PFA (Alloc Fam)</t>
  </si>
  <si>
    <t xml:space="preserve">Invalidité </t>
  </si>
  <si>
    <t>MINI 67€ ETMAXI 349€ &gt;&gt;&gt;&gt;&gt;&gt;&gt;&gt;&gt;&gt;</t>
  </si>
  <si>
    <t>Assurance Vieillesse Agricole déplafonnée</t>
  </si>
  <si>
    <t>Invalidite</t>
  </si>
  <si>
    <t>Retraite Complementaire Obligatoire</t>
  </si>
  <si>
    <t>RCO</t>
  </si>
  <si>
    <t>Atexa (Acc, du travail) Cat, D elevage dressage</t>
  </si>
  <si>
    <t>forfait</t>
  </si>
  <si>
    <t>SIMULATION AU REGIME MICRO-BA</t>
  </si>
  <si>
    <t>BASE DE CALCUL A REPRENDRE = moyenne des 3 derniéres années -87%</t>
  </si>
  <si>
    <t>APPLICABLE SI LA MOYENNE DES RECETTES N'EXCEDE PAS 82 200HT</t>
  </si>
  <si>
    <t xml:space="preserve">Mes cotisations sociales </t>
  </si>
  <si>
    <t>SPECIFICITES REGIME TVA</t>
  </si>
  <si>
    <t>La TVA est due si le montant moyen des recettes sur 2 ans dépasse 46000€</t>
  </si>
  <si>
    <t>La premiére "bascule" porte sur 3 ans, puis sur 1 an</t>
  </si>
  <si>
    <t>Remb forfaitaire de TVA non applicable aux services et élevage</t>
  </si>
  <si>
    <t>Cotisations sociales Libéral 22%+ form cont. 0,20% =22,20%</t>
  </si>
  <si>
    <t>Cotisations sociales Commerçant 22%+ form cont. 0,3% =22,30%</t>
  </si>
  <si>
    <t>Avec application d'un taux de 6,50% à 3%</t>
  </si>
  <si>
    <t>selon le montant du revenu si il est inféreiru à 27812, (bénéfice)</t>
  </si>
  <si>
    <t>Alloc Fam 0%</t>
  </si>
  <si>
    <t>CSG RDS 9,70%</t>
  </si>
  <si>
    <t>ATTENTION POUR 2018 CHANGEMENT</t>
  </si>
  <si>
    <t>APPEL DE LA CFP 2017 ET 2018</t>
  </si>
  <si>
    <t>Seuils 2017 pour la reduction en attente de</t>
  </si>
  <si>
    <t>la MAJ courant mars 2019</t>
  </si>
  <si>
    <t xml:space="preserve">SIMULATION AU REGIME MICRO SOCIAL  SEUIL 70 000€  </t>
  </si>
  <si>
    <t>Pour les revenus &gt; 39228€ on rajoute 0,50% &gt;&gt;&gt;&gt;</t>
  </si>
  <si>
    <t>soit 5,5%</t>
  </si>
  <si>
    <t>soit 11%</t>
  </si>
  <si>
    <t>soit 16,5%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</si>
</sst>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_-* #,##0.0\ _F_-;\-* #,##0.0\ _F_-;_-* &quot;-&quot;??\ _F_-;_-@_-"/>
    <numFmt numFmtId="175" formatCode="_-* #,##0\ _F_-;\-* #,##0\ _F_-;_-* &quot;-&quot;??\ _F_-;_-@_-"/>
    <numFmt numFmtId="176" formatCode="_-* #,##0.000\ _F_-;\-* #,##0.000\ _F_-;_-* &quot;-&quot;??\ _F_-;_-@_-"/>
    <numFmt numFmtId="177" formatCode="#,##0.00\ _F"/>
    <numFmt numFmtId="178" formatCode="[&gt;=3000000000000]#&quot; &quot;##&quot; &quot;##&quot; &quot;##&quot; &quot;###&quot; &quot;###&quot; | &quot;##;#&quot; &quot;##&quot; &quot;##&quot; &quot;##&quot; &quot;###&quot; &quot;###"/>
    <numFmt numFmtId="179" formatCode="0_ ;\-0\ "/>
    <numFmt numFmtId="180" formatCode="_-* #,##0.0000\ _F_-;\-* #,##0.0000\ _F_-;_-* &quot;-&quot;??\ _F_-;_-@_-"/>
    <numFmt numFmtId="181" formatCode="_-* #,##0.00000\ _F_-;\-* #,##0.00000\ _F_-;_-* &quot;-&quot;??\ _F_-;_-@_-"/>
    <numFmt numFmtId="182" formatCode="0.00000"/>
    <numFmt numFmtId="183" formatCode="0.000000"/>
    <numFmt numFmtId="184" formatCode="0.0000"/>
    <numFmt numFmtId="185" formatCode="&quot;Vrai&quot;;&quot;Vrai&quot;;&quot;Faux&quot;"/>
    <numFmt numFmtId="186" formatCode="&quot;Actif&quot;;&quot;Actif&quot;;&quot;Inactif&quot;"/>
    <numFmt numFmtId="187" formatCode="#,##0.00\ &quot;€&quot;"/>
    <numFmt numFmtId="188" formatCode="#,##0.0\ &quot;€&quot;"/>
    <numFmt numFmtId="189" formatCode="#,##0\ &quot;€&quot;"/>
    <numFmt numFmtId="190" formatCode="0.0%"/>
    <numFmt numFmtId="191" formatCode="_-* #,##0\ _€_-;\-* #,##0\ _€_-;_-* &quot;-&quot;??\ _€_-;_-@_-"/>
    <numFmt numFmtId="192" formatCode="[$-40C]dddd\ d\ mmmm\ yyyy"/>
    <numFmt numFmtId="193" formatCode="#,##0.00\ _€"/>
    <numFmt numFmtId="194" formatCode="_-* #,##0.0\ &quot;€&quot;_-;\-* #,##0.0\ &quot;€&quot;_-;_-* &quot;-&quot;??\ &quot;€&quot;_-;_-@_-"/>
    <numFmt numFmtId="195" formatCode="_-* #,##0\ &quot;€&quot;_-;\-* #,##0\ &quot;€&quot;_-;_-* &quot;-&quot;??\ &quot;€&quot;_-;_-@_-"/>
    <numFmt numFmtId="196" formatCode="_-* #,##0.00\ [$€-40C]_-;\-* #,##0.00\ [$€-40C]_-;_-* &quot;-&quot;??\ [$€-40C]_-;_-@_-"/>
    <numFmt numFmtId="197" formatCode="_-* #,##0.000\ [$€-40C]_-;\-* #,##0.000\ [$€-40C]_-;_-* &quot;-&quot;??\ [$€-40C]_-;_-@_-"/>
    <numFmt numFmtId="198" formatCode="_-* #,##0.0\ [$€-40C]_-;\-* #,##0.0\ [$€-40C]_-;_-* &quot;-&quot;??\ [$€-40C]_-;_-@_-"/>
    <numFmt numFmtId="199" formatCode="_-* #,##0\ [$€-40C]_-;\-* #,##0\ [$€-40C]_-;_-* &quot;-&quot;??\ [$€-40C]_-;_-@_-"/>
  </numFmts>
  <fonts count="57">
    <font>
      <sz val="11"/>
      <name val="Tahoma"/>
      <family val="2"/>
    </font>
    <font>
      <sz val="11"/>
      <name val="Arial"/>
      <family val="2"/>
    </font>
    <font>
      <sz val="10"/>
      <name val="Arial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10"/>
      <name val="Tahoma"/>
      <family val="2"/>
    </font>
    <font>
      <b/>
      <sz val="10"/>
      <name val="Ebrima"/>
      <family val="0"/>
    </font>
    <font>
      <sz val="10"/>
      <name val="Ebrima"/>
      <family val="0"/>
    </font>
    <font>
      <b/>
      <i/>
      <sz val="10"/>
      <name val="Ebrima"/>
      <family val="0"/>
    </font>
    <font>
      <i/>
      <sz val="10"/>
      <name val="Ebrima"/>
      <family val="0"/>
    </font>
    <font>
      <sz val="11"/>
      <name val="Ebrima"/>
      <family val="0"/>
    </font>
    <font>
      <sz val="6"/>
      <name val="Ebrima"/>
      <family val="0"/>
    </font>
    <font>
      <sz val="8"/>
      <name val="Ebrima"/>
      <family val="0"/>
    </font>
    <font>
      <b/>
      <sz val="10"/>
      <color indexed="9"/>
      <name val="Ebrima"/>
      <family val="0"/>
    </font>
    <font>
      <sz val="8"/>
      <color indexed="9"/>
      <name val="Ebrima"/>
      <family val="0"/>
    </font>
    <font>
      <sz val="10"/>
      <color indexed="9"/>
      <name val="Ebrima"/>
      <family val="0"/>
    </font>
    <font>
      <b/>
      <sz val="10"/>
      <color indexed="10"/>
      <name val="Ebrima"/>
      <family val="0"/>
    </font>
    <font>
      <sz val="9"/>
      <name val="Ebrima"/>
      <family val="0"/>
    </font>
    <font>
      <b/>
      <sz val="9"/>
      <name val="Ebrima"/>
      <family val="0"/>
    </font>
    <font>
      <b/>
      <sz val="8"/>
      <name val="Ebrima"/>
      <family val="0"/>
    </font>
    <font>
      <b/>
      <sz val="7"/>
      <name val="Ebrima"/>
      <family val="0"/>
    </font>
    <font>
      <sz val="10"/>
      <color indexed="10"/>
      <name val="Ebri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Ebrima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E249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5D5E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175" fontId="6" fillId="34" borderId="18" xfId="46" applyNumberFormat="1" applyFont="1" applyFill="1" applyBorder="1" applyAlignment="1" applyProtection="1">
      <alignment/>
      <protection locked="0"/>
    </xf>
    <xf numFmtId="175" fontId="6" fillId="35" borderId="19" xfId="46" applyNumberFormat="1" applyFont="1" applyFill="1" applyBorder="1" applyAlignment="1" applyProtection="1">
      <alignment/>
      <protection locked="0"/>
    </xf>
    <xf numFmtId="0" fontId="8" fillId="34" borderId="0" xfId="0" applyFont="1" applyFill="1" applyAlignment="1">
      <alignment horizontal="left"/>
    </xf>
    <xf numFmtId="175" fontId="6" fillId="34" borderId="0" xfId="46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25" xfId="0" applyFont="1" applyBorder="1" applyAlignment="1">
      <alignment horizontal="center"/>
    </xf>
    <xf numFmtId="175" fontId="7" fillId="0" borderId="0" xfId="46" applyNumberFormat="1" applyFont="1" applyBorder="1" applyAlignment="1">
      <alignment/>
    </xf>
    <xf numFmtId="175" fontId="7" fillId="0" borderId="26" xfId="46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75" fontId="8" fillId="0" borderId="26" xfId="0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 horizontal="center"/>
    </xf>
    <xf numFmtId="175" fontId="7" fillId="0" borderId="0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3" xfId="0" applyFont="1" applyBorder="1" applyAlignment="1">
      <alignment/>
    </xf>
    <xf numFmtId="171" fontId="6" fillId="0" borderId="11" xfId="0" applyNumberFormat="1" applyFont="1" applyBorder="1" applyAlignment="1">
      <alignment/>
    </xf>
    <xf numFmtId="171" fontId="6" fillId="0" borderId="14" xfId="0" applyNumberFormat="1" applyFont="1" applyBorder="1" applyAlignment="1">
      <alignment/>
    </xf>
    <xf numFmtId="175" fontId="6" fillId="0" borderId="28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12" fillId="0" borderId="0" xfId="0" applyFont="1" applyBorder="1" applyAlignment="1">
      <alignment/>
    </xf>
    <xf numFmtId="175" fontId="7" fillId="0" borderId="27" xfId="46" applyNumberFormat="1" applyFont="1" applyBorder="1" applyAlignment="1">
      <alignment/>
    </xf>
    <xf numFmtId="0" fontId="13" fillId="36" borderId="0" xfId="0" applyFont="1" applyFill="1" applyBorder="1" applyAlignment="1">
      <alignment/>
    </xf>
    <xf numFmtId="175" fontId="14" fillId="36" borderId="0" xfId="0" applyNumberFormat="1" applyFont="1" applyFill="1" applyBorder="1" applyAlignment="1">
      <alignment/>
    </xf>
    <xf numFmtId="175" fontId="15" fillId="36" borderId="0" xfId="0" applyNumberFormat="1" applyFont="1" applyFill="1" applyBorder="1" applyAlignment="1">
      <alignment/>
    </xf>
    <xf numFmtId="171" fontId="15" fillId="36" borderId="0" xfId="46" applyFont="1" applyFill="1" applyBorder="1" applyAlignment="1">
      <alignment/>
    </xf>
    <xf numFmtId="175" fontId="15" fillId="36" borderId="26" xfId="46" applyNumberFormat="1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15" fillId="36" borderId="26" xfId="0" applyFont="1" applyFill="1" applyBorder="1" applyAlignment="1">
      <alignment/>
    </xf>
    <xf numFmtId="171" fontId="7" fillId="0" borderId="0" xfId="46" applyFont="1" applyBorder="1" applyAlignment="1">
      <alignment/>
    </xf>
    <xf numFmtId="175" fontId="7" fillId="0" borderId="27" xfId="46" applyNumberFormat="1" applyFont="1" applyBorder="1" applyAlignment="1">
      <alignment horizontal="center"/>
    </xf>
    <xf numFmtId="9" fontId="12" fillId="37" borderId="19" xfId="0" applyNumberFormat="1" applyFont="1" applyFill="1" applyBorder="1" applyAlignment="1">
      <alignment/>
    </xf>
    <xf numFmtId="9" fontId="7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7" fillId="0" borderId="16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75" fontId="6" fillId="0" borderId="24" xfId="46" applyNumberFormat="1" applyFont="1" applyBorder="1" applyAlignment="1">
      <alignment/>
    </xf>
    <xf numFmtId="0" fontId="6" fillId="38" borderId="18" xfId="0" applyFont="1" applyFill="1" applyBorder="1" applyAlignment="1">
      <alignment/>
    </xf>
    <xf numFmtId="189" fontId="6" fillId="38" borderId="18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75" fontId="8" fillId="33" borderId="22" xfId="0" applyNumberFormat="1" applyFont="1" applyFill="1" applyBorder="1" applyAlignment="1">
      <alignment/>
    </xf>
    <xf numFmtId="175" fontId="7" fillId="0" borderId="0" xfId="0" applyNumberFormat="1" applyFont="1" applyFill="1" applyAlignment="1">
      <alignment/>
    </xf>
    <xf numFmtId="175" fontId="7" fillId="33" borderId="10" xfId="0" applyNumberFormat="1" applyFont="1" applyFill="1" applyBorder="1" applyAlignment="1">
      <alignment/>
    </xf>
    <xf numFmtId="10" fontId="7" fillId="33" borderId="10" xfId="52" applyNumberFormat="1" applyFont="1" applyFill="1" applyBorder="1" applyAlignment="1">
      <alignment/>
    </xf>
    <xf numFmtId="10" fontId="7" fillId="33" borderId="32" xfId="52" applyNumberFormat="1" applyFont="1" applyFill="1" applyBorder="1" applyAlignment="1">
      <alignment/>
    </xf>
    <xf numFmtId="175" fontId="7" fillId="33" borderId="23" xfId="0" applyNumberFormat="1" applyFont="1" applyFill="1" applyBorder="1" applyAlignment="1">
      <alignment/>
    </xf>
    <xf numFmtId="175" fontId="7" fillId="33" borderId="0" xfId="0" applyNumberFormat="1" applyFont="1" applyFill="1" applyBorder="1" applyAlignment="1">
      <alignment/>
    </xf>
    <xf numFmtId="10" fontId="7" fillId="33" borderId="0" xfId="52" applyNumberFormat="1" applyFont="1" applyFill="1" applyBorder="1" applyAlignment="1">
      <alignment/>
    </xf>
    <xf numFmtId="10" fontId="7" fillId="33" borderId="26" xfId="52" applyNumberFormat="1" applyFont="1" applyFill="1" applyBorder="1" applyAlignment="1">
      <alignment/>
    </xf>
    <xf numFmtId="175" fontId="6" fillId="35" borderId="18" xfId="46" applyNumberFormat="1" applyFont="1" applyFill="1" applyBorder="1" applyAlignment="1" applyProtection="1">
      <alignment/>
      <protection locked="0"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/>
    </xf>
    <xf numFmtId="189" fontId="6" fillId="38" borderId="18" xfId="46" applyNumberFormat="1" applyFont="1" applyFill="1" applyBorder="1" applyAlignment="1">
      <alignment/>
    </xf>
    <xf numFmtId="175" fontId="6" fillId="34" borderId="18" xfId="46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39" borderId="14" xfId="0" applyFont="1" applyFill="1" applyBorder="1" applyAlignment="1">
      <alignment/>
    </xf>
    <xf numFmtId="0" fontId="9" fillId="40" borderId="0" xfId="0" applyFont="1" applyFill="1" applyAlignment="1">
      <alignment/>
    </xf>
    <xf numFmtId="0" fontId="7" fillId="40" borderId="0" xfId="0" applyFont="1" applyFill="1" applyAlignment="1">
      <alignment/>
    </xf>
    <xf numFmtId="175" fontId="6" fillId="40" borderId="24" xfId="0" applyNumberFormat="1" applyFont="1" applyFill="1" applyBorder="1" applyAlignment="1">
      <alignment/>
    </xf>
    <xf numFmtId="0" fontId="7" fillId="40" borderId="11" xfId="0" applyFont="1" applyFill="1" applyBorder="1" applyAlignment="1">
      <alignment/>
    </xf>
    <xf numFmtId="0" fontId="7" fillId="40" borderId="13" xfId="0" applyFont="1" applyFill="1" applyBorder="1" applyAlignment="1">
      <alignment/>
    </xf>
    <xf numFmtId="175" fontId="7" fillId="40" borderId="13" xfId="46" applyNumberFormat="1" applyFont="1" applyFill="1" applyBorder="1" applyAlignment="1">
      <alignment/>
    </xf>
    <xf numFmtId="175" fontId="7" fillId="40" borderId="13" xfId="0" applyNumberFormat="1" applyFont="1" applyFill="1" applyBorder="1" applyAlignment="1" applyProtection="1">
      <alignment/>
      <protection/>
    </xf>
    <xf numFmtId="191" fontId="7" fillId="40" borderId="0" xfId="46" applyNumberFormat="1" applyFont="1" applyFill="1" applyBorder="1" applyAlignment="1">
      <alignment/>
    </xf>
    <xf numFmtId="0" fontId="7" fillId="40" borderId="33" xfId="0" applyFont="1" applyFill="1" applyBorder="1" applyAlignment="1">
      <alignment/>
    </xf>
    <xf numFmtId="175" fontId="7" fillId="40" borderId="12" xfId="0" applyNumberFormat="1" applyFont="1" applyFill="1" applyBorder="1" applyAlignment="1">
      <alignment/>
    </xf>
    <xf numFmtId="175" fontId="11" fillId="40" borderId="12" xfId="46" applyNumberFormat="1" applyFont="1" applyFill="1" applyBorder="1" applyAlignment="1">
      <alignment/>
    </xf>
    <xf numFmtId="175" fontId="6" fillId="40" borderId="34" xfId="46" applyNumberFormat="1" applyFont="1" applyFill="1" applyBorder="1" applyAlignment="1" applyProtection="1">
      <alignment/>
      <protection/>
    </xf>
    <xf numFmtId="0" fontId="7" fillId="40" borderId="29" xfId="0" applyFont="1" applyFill="1" applyBorder="1" applyAlignment="1">
      <alignment/>
    </xf>
    <xf numFmtId="175" fontId="7" fillId="40" borderId="30" xfId="0" applyNumberFormat="1" applyFont="1" applyFill="1" applyBorder="1" applyAlignment="1">
      <alignment/>
    </xf>
    <xf numFmtId="175" fontId="11" fillId="40" borderId="30" xfId="0" applyNumberFormat="1" applyFont="1" applyFill="1" applyBorder="1" applyAlignment="1" applyProtection="1">
      <alignment/>
      <protection/>
    </xf>
    <xf numFmtId="175" fontId="6" fillId="40" borderId="35" xfId="0" applyNumberFormat="1" applyFont="1" applyFill="1" applyBorder="1" applyAlignment="1">
      <alignment/>
    </xf>
    <xf numFmtId="0" fontId="7" fillId="40" borderId="14" xfId="0" applyFont="1" applyFill="1" applyBorder="1" applyAlignment="1">
      <alignment/>
    </xf>
    <xf numFmtId="171" fontId="6" fillId="40" borderId="14" xfId="0" applyNumberFormat="1" applyFont="1" applyFill="1" applyBorder="1" applyAlignment="1">
      <alignment/>
    </xf>
    <xf numFmtId="171" fontId="7" fillId="40" borderId="11" xfId="0" applyNumberFormat="1" applyFont="1" applyFill="1" applyBorder="1" applyAlignment="1">
      <alignment/>
    </xf>
    <xf numFmtId="175" fontId="6" fillId="40" borderId="12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0" xfId="0" applyFont="1" applyBorder="1" applyAlignment="1">
      <alignment/>
    </xf>
    <xf numFmtId="0" fontId="12" fillId="40" borderId="0" xfId="0" applyFont="1" applyFill="1" applyBorder="1" applyAlignment="1">
      <alignment/>
    </xf>
    <xf numFmtId="175" fontId="7" fillId="40" borderId="19" xfId="46" applyNumberFormat="1" applyFont="1" applyFill="1" applyBorder="1" applyAlignment="1">
      <alignment/>
    </xf>
    <xf numFmtId="10" fontId="7" fillId="40" borderId="19" xfId="0" applyNumberFormat="1" applyFont="1" applyFill="1" applyBorder="1" applyAlignment="1">
      <alignment/>
    </xf>
    <xf numFmtId="175" fontId="7" fillId="40" borderId="27" xfId="46" applyNumberFormat="1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75" fontId="7" fillId="41" borderId="23" xfId="0" applyNumberFormat="1" applyFont="1" applyFill="1" applyBorder="1" applyAlignment="1">
      <alignment/>
    </xf>
    <xf numFmtId="175" fontId="7" fillId="41" borderId="0" xfId="0" applyNumberFormat="1" applyFont="1" applyFill="1" applyBorder="1" applyAlignment="1">
      <alignment/>
    </xf>
    <xf numFmtId="10" fontId="7" fillId="41" borderId="0" xfId="52" applyNumberFormat="1" applyFont="1" applyFill="1" applyBorder="1" applyAlignment="1">
      <alignment/>
    </xf>
    <xf numFmtId="0" fontId="7" fillId="41" borderId="0" xfId="0" applyFont="1" applyFill="1" applyBorder="1" applyAlignment="1">
      <alignment/>
    </xf>
    <xf numFmtId="10" fontId="7" fillId="41" borderId="26" xfId="52" applyNumberFormat="1" applyFont="1" applyFill="1" applyBorder="1" applyAlignment="1">
      <alignment/>
    </xf>
    <xf numFmtId="0" fontId="7" fillId="42" borderId="0" xfId="0" applyFont="1" applyFill="1" applyBorder="1" applyAlignment="1">
      <alignment/>
    </xf>
    <xf numFmtId="175" fontId="7" fillId="43" borderId="0" xfId="0" applyNumberFormat="1" applyFont="1" applyFill="1" applyBorder="1" applyAlignment="1">
      <alignment/>
    </xf>
    <xf numFmtId="0" fontId="7" fillId="43" borderId="0" xfId="0" applyFont="1" applyFill="1" applyBorder="1" applyAlignment="1">
      <alignment/>
    </xf>
    <xf numFmtId="0" fontId="7" fillId="42" borderId="33" xfId="0" applyFont="1" applyFill="1" applyBorder="1" applyAlignment="1">
      <alignment/>
    </xf>
    <xf numFmtId="0" fontId="7" fillId="42" borderId="12" xfId="0" applyFont="1" applyFill="1" applyBorder="1" applyAlignment="1">
      <alignment/>
    </xf>
    <xf numFmtId="0" fontId="5" fillId="42" borderId="36" xfId="0" applyFont="1" applyFill="1" applyBorder="1" applyAlignment="1">
      <alignment/>
    </xf>
    <xf numFmtId="0" fontId="7" fillId="42" borderId="37" xfId="0" applyFont="1" applyFill="1" applyBorder="1" applyAlignment="1">
      <alignment/>
    </xf>
    <xf numFmtId="0" fontId="5" fillId="42" borderId="38" xfId="0" applyFont="1" applyFill="1" applyBorder="1" applyAlignment="1">
      <alignment/>
    </xf>
    <xf numFmtId="0" fontId="7" fillId="42" borderId="29" xfId="0" applyFont="1" applyFill="1" applyBorder="1" applyAlignment="1">
      <alignment/>
    </xf>
    <xf numFmtId="0" fontId="7" fillId="42" borderId="30" xfId="0" applyFont="1" applyFill="1" applyBorder="1" applyAlignment="1">
      <alignment/>
    </xf>
    <xf numFmtId="0" fontId="5" fillId="42" borderId="31" xfId="0" applyFont="1" applyFill="1" applyBorder="1" applyAlignment="1">
      <alignment/>
    </xf>
    <xf numFmtId="175" fontId="16" fillId="42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25" borderId="23" xfId="0" applyFont="1" applyFill="1" applyBorder="1" applyAlignment="1">
      <alignment/>
    </xf>
    <xf numFmtId="0" fontId="7" fillId="43" borderId="39" xfId="0" applyFont="1" applyFill="1" applyBorder="1" applyAlignment="1">
      <alignment/>
    </xf>
    <xf numFmtId="0" fontId="7" fillId="43" borderId="10" xfId="0" applyFont="1" applyFill="1" applyBorder="1" applyAlignment="1">
      <alignment/>
    </xf>
    <xf numFmtId="0" fontId="7" fillId="43" borderId="32" xfId="0" applyFont="1" applyFill="1" applyBorder="1" applyAlignment="1">
      <alignment/>
    </xf>
    <xf numFmtId="0" fontId="7" fillId="43" borderId="23" xfId="0" applyFont="1" applyFill="1" applyBorder="1" applyAlignment="1">
      <alignment/>
    </xf>
    <xf numFmtId="0" fontId="7" fillId="41" borderId="20" xfId="0" applyFont="1" applyFill="1" applyBorder="1" applyAlignment="1">
      <alignment/>
    </xf>
    <xf numFmtId="0" fontId="7" fillId="41" borderId="21" xfId="0" applyFont="1" applyFill="1" applyBorder="1" applyAlignment="1">
      <alignment/>
    </xf>
    <xf numFmtId="0" fontId="7" fillId="41" borderId="22" xfId="0" applyFont="1" applyFill="1" applyBorder="1" applyAlignment="1">
      <alignment/>
    </xf>
    <xf numFmtId="0" fontId="6" fillId="44" borderId="20" xfId="0" applyFont="1" applyFill="1" applyBorder="1" applyAlignment="1">
      <alignment/>
    </xf>
    <xf numFmtId="0" fontId="7" fillId="44" borderId="21" xfId="0" applyFont="1" applyFill="1" applyBorder="1" applyAlignment="1">
      <alignment/>
    </xf>
    <xf numFmtId="0" fontId="7" fillId="44" borderId="22" xfId="0" applyFont="1" applyFill="1" applyBorder="1" applyAlignment="1">
      <alignment/>
    </xf>
    <xf numFmtId="0" fontId="2" fillId="44" borderId="0" xfId="0" applyFont="1" applyFill="1" applyAlignment="1">
      <alignment/>
    </xf>
    <xf numFmtId="0" fontId="17" fillId="44" borderId="0" xfId="0" applyFont="1" applyFill="1" applyBorder="1" applyAlignment="1">
      <alignment/>
    </xf>
    <xf numFmtId="0" fontId="8" fillId="44" borderId="40" xfId="0" applyFont="1" applyFill="1" applyBorder="1" applyAlignment="1">
      <alignment/>
    </xf>
    <xf numFmtId="175" fontId="6" fillId="44" borderId="41" xfId="0" applyNumberFormat="1" applyFont="1" applyFill="1" applyBorder="1" applyAlignment="1">
      <alignment/>
    </xf>
    <xf numFmtId="0" fontId="7" fillId="44" borderId="0" xfId="0" applyFont="1" applyFill="1" applyAlignment="1">
      <alignment/>
    </xf>
    <xf numFmtId="0" fontId="7" fillId="44" borderId="20" xfId="0" applyFont="1" applyFill="1" applyBorder="1" applyAlignment="1">
      <alignment/>
    </xf>
    <xf numFmtId="10" fontId="6" fillId="44" borderId="21" xfId="52" applyNumberFormat="1" applyFont="1" applyFill="1" applyBorder="1" applyAlignment="1">
      <alignment horizontal="left"/>
    </xf>
    <xf numFmtId="0" fontId="7" fillId="44" borderId="13" xfId="0" applyFont="1" applyFill="1" applyBorder="1" applyAlignment="1">
      <alignment/>
    </xf>
    <xf numFmtId="0" fontId="6" fillId="44" borderId="16" xfId="0" applyFont="1" applyFill="1" applyBorder="1" applyAlignment="1">
      <alignment/>
    </xf>
    <xf numFmtId="0" fontId="6" fillId="44" borderId="11" xfId="0" applyFont="1" applyFill="1" applyBorder="1" applyAlignment="1">
      <alignment/>
    </xf>
    <xf numFmtId="0" fontId="6" fillId="44" borderId="14" xfId="0" applyFont="1" applyFill="1" applyBorder="1" applyAlignment="1">
      <alignment/>
    </xf>
    <xf numFmtId="175" fontId="6" fillId="44" borderId="28" xfId="0" applyNumberFormat="1" applyFont="1" applyFill="1" applyBorder="1" applyAlignment="1">
      <alignment/>
    </xf>
    <xf numFmtId="0" fontId="6" fillId="44" borderId="13" xfId="0" applyFont="1" applyFill="1" applyBorder="1" applyAlignment="1">
      <alignment/>
    </xf>
    <xf numFmtId="175" fontId="7" fillId="43" borderId="15" xfId="0" applyNumberFormat="1" applyFont="1" applyFill="1" applyBorder="1" applyAlignment="1">
      <alignment/>
    </xf>
    <xf numFmtId="175" fontId="7" fillId="43" borderId="16" xfId="0" applyNumberFormat="1" applyFont="1" applyFill="1" applyBorder="1" applyAlignment="1">
      <alignment/>
    </xf>
    <xf numFmtId="10" fontId="7" fillId="43" borderId="16" xfId="52" applyNumberFormat="1" applyFont="1" applyFill="1" applyBorder="1" applyAlignment="1">
      <alignment/>
    </xf>
    <xf numFmtId="0" fontId="7" fillId="43" borderId="16" xfId="0" applyFont="1" applyFill="1" applyBorder="1" applyAlignment="1">
      <alignment/>
    </xf>
    <xf numFmtId="10" fontId="7" fillId="43" borderId="17" xfId="52" applyNumberFormat="1" applyFont="1" applyFill="1" applyBorder="1" applyAlignment="1">
      <alignment/>
    </xf>
    <xf numFmtId="0" fontId="7" fillId="40" borderId="21" xfId="0" applyFont="1" applyFill="1" applyBorder="1" applyAlignment="1">
      <alignment/>
    </xf>
    <xf numFmtId="0" fontId="6" fillId="40" borderId="21" xfId="0" applyFont="1" applyFill="1" applyBorder="1" applyAlignment="1">
      <alignment/>
    </xf>
    <xf numFmtId="0" fontId="2" fillId="40" borderId="22" xfId="0" applyFont="1" applyFill="1" applyBorder="1" applyAlignment="1">
      <alignment/>
    </xf>
    <xf numFmtId="0" fontId="19" fillId="37" borderId="0" xfId="0" applyFont="1" applyFill="1" applyBorder="1" applyAlignment="1">
      <alignment/>
    </xf>
    <xf numFmtId="0" fontId="6" fillId="40" borderId="20" xfId="0" applyFont="1" applyFill="1" applyBorder="1" applyAlignment="1">
      <alignment horizontal="left"/>
    </xf>
    <xf numFmtId="0" fontId="6" fillId="24" borderId="39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5" fillId="24" borderId="32" xfId="0" applyFont="1" applyFill="1" applyBorder="1" applyAlignment="1">
      <alignment/>
    </xf>
    <xf numFmtId="0" fontId="7" fillId="24" borderId="23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5" fillId="24" borderId="26" xfId="0" applyFont="1" applyFill="1" applyBorder="1" applyAlignment="1">
      <alignment/>
    </xf>
    <xf numFmtId="195" fontId="7" fillId="41" borderId="0" xfId="0" applyNumberFormat="1" applyFont="1" applyFill="1" applyBorder="1" applyAlignment="1">
      <alignment/>
    </xf>
    <xf numFmtId="195" fontId="7" fillId="24" borderId="0" xfId="0" applyNumberFormat="1" applyFont="1" applyFill="1" applyBorder="1" applyAlignment="1">
      <alignment/>
    </xf>
    <xf numFmtId="175" fontId="7" fillId="24" borderId="0" xfId="0" applyNumberFormat="1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195" fontId="7" fillId="24" borderId="16" xfId="0" applyNumberFormat="1" applyFont="1" applyFill="1" applyBorder="1" applyAlignment="1">
      <alignment/>
    </xf>
    <xf numFmtId="0" fontId="5" fillId="24" borderId="17" xfId="0" applyFont="1" applyFill="1" applyBorder="1" applyAlignment="1">
      <alignment/>
    </xf>
    <xf numFmtId="199" fontId="7" fillId="24" borderId="0" xfId="48" applyNumberFormat="1" applyFont="1" applyFill="1" applyBorder="1" applyAlignment="1">
      <alignment/>
    </xf>
    <xf numFmtId="0" fontId="7" fillId="24" borderId="26" xfId="0" applyFont="1" applyFill="1" applyBorder="1" applyAlignment="1">
      <alignment/>
    </xf>
    <xf numFmtId="189" fontId="7" fillId="24" borderId="0" xfId="0" applyNumberFormat="1" applyFont="1" applyFill="1" applyBorder="1" applyAlignment="1">
      <alignment/>
    </xf>
    <xf numFmtId="0" fontId="7" fillId="24" borderId="17" xfId="0" applyFont="1" applyFill="1" applyBorder="1" applyAlignment="1">
      <alignment/>
    </xf>
    <xf numFmtId="0" fontId="7" fillId="43" borderId="26" xfId="0" applyFont="1" applyFill="1" applyBorder="1" applyAlignment="1">
      <alignment/>
    </xf>
    <xf numFmtId="0" fontId="6" fillId="42" borderId="23" xfId="0" applyFont="1" applyFill="1" applyBorder="1" applyAlignment="1">
      <alignment/>
    </xf>
    <xf numFmtId="0" fontId="6" fillId="42" borderId="0" xfId="0" applyFont="1" applyFill="1" applyBorder="1" applyAlignment="1">
      <alignment/>
    </xf>
    <xf numFmtId="0" fontId="6" fillId="44" borderId="42" xfId="0" applyFont="1" applyFill="1" applyBorder="1" applyAlignment="1">
      <alignment/>
    </xf>
    <xf numFmtId="0" fontId="6" fillId="44" borderId="43" xfId="0" applyFont="1" applyFill="1" applyBorder="1" applyAlignment="1">
      <alignment/>
    </xf>
    <xf numFmtId="0" fontId="6" fillId="44" borderId="44" xfId="0" applyFont="1" applyFill="1" applyBorder="1" applyAlignment="1">
      <alignment/>
    </xf>
    <xf numFmtId="0" fontId="7" fillId="44" borderId="45" xfId="0" applyFont="1" applyFill="1" applyBorder="1" applyAlignment="1">
      <alignment/>
    </xf>
    <xf numFmtId="0" fontId="7" fillId="44" borderId="30" xfId="0" applyFont="1" applyFill="1" applyBorder="1" applyAlignment="1">
      <alignment/>
    </xf>
    <xf numFmtId="0" fontId="6" fillId="44" borderId="30" xfId="0" applyFont="1" applyFill="1" applyBorder="1" applyAlignment="1">
      <alignment/>
    </xf>
    <xf numFmtId="0" fontId="8" fillId="44" borderId="30" xfId="0" applyFont="1" applyFill="1" applyBorder="1" applyAlignment="1">
      <alignment/>
    </xf>
    <xf numFmtId="175" fontId="8" fillId="44" borderId="35" xfId="0" applyNumberFormat="1" applyFont="1" applyFill="1" applyBorder="1" applyAlignment="1">
      <alignment/>
    </xf>
    <xf numFmtId="0" fontId="6" fillId="44" borderId="33" xfId="0" applyFont="1" applyFill="1" applyBorder="1" applyAlignment="1">
      <alignment horizontal="left"/>
    </xf>
    <xf numFmtId="0" fontId="6" fillId="44" borderId="12" xfId="0" applyFont="1" applyFill="1" applyBorder="1" applyAlignment="1">
      <alignment horizontal="left"/>
    </xf>
    <xf numFmtId="0" fontId="7" fillId="44" borderId="12" xfId="0" applyFont="1" applyFill="1" applyBorder="1" applyAlignment="1">
      <alignment horizontal="left"/>
    </xf>
    <xf numFmtId="0" fontId="6" fillId="44" borderId="29" xfId="0" applyFont="1" applyFill="1" applyBorder="1" applyAlignment="1">
      <alignment horizontal="left"/>
    </xf>
    <xf numFmtId="0" fontId="6" fillId="44" borderId="30" xfId="0" applyFont="1" applyFill="1" applyBorder="1" applyAlignment="1">
      <alignment horizontal="left"/>
    </xf>
    <xf numFmtId="0" fontId="8" fillId="44" borderId="30" xfId="0" applyFont="1" applyFill="1" applyBorder="1" applyAlignment="1">
      <alignment horizontal="left"/>
    </xf>
    <xf numFmtId="0" fontId="7" fillId="44" borderId="30" xfId="0" applyFont="1" applyFill="1" applyBorder="1" applyAlignment="1">
      <alignment horizontal="left"/>
    </xf>
    <xf numFmtId="0" fontId="7" fillId="44" borderId="31" xfId="0" applyFont="1" applyFill="1" applyBorder="1" applyAlignment="1">
      <alignment horizontal="left"/>
    </xf>
    <xf numFmtId="0" fontId="8" fillId="43" borderId="19" xfId="0" applyFont="1" applyFill="1" applyBorder="1" applyAlignment="1">
      <alignment/>
    </xf>
    <xf numFmtId="0" fontId="9" fillId="43" borderId="24" xfId="0" applyFont="1" applyFill="1" applyBorder="1" applyAlignment="1">
      <alignment/>
    </xf>
    <xf numFmtId="0" fontId="8" fillId="43" borderId="11" xfId="0" applyFont="1" applyFill="1" applyBorder="1" applyAlignment="1">
      <alignment/>
    </xf>
    <xf numFmtId="0" fontId="9" fillId="43" borderId="13" xfId="0" applyFont="1" applyFill="1" applyBorder="1" applyAlignment="1">
      <alignment/>
    </xf>
    <xf numFmtId="175" fontId="6" fillId="43" borderId="14" xfId="46" applyNumberFormat="1" applyFont="1" applyFill="1" applyBorder="1" applyAlignment="1" applyProtection="1">
      <alignment/>
      <protection locked="0"/>
    </xf>
    <xf numFmtId="175" fontId="6" fillId="33" borderId="39" xfId="0" applyNumberFormat="1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175" fontId="7" fillId="3" borderId="13" xfId="0" applyNumberFormat="1" applyFont="1" applyFill="1" applyBorder="1" applyAlignment="1">
      <alignment/>
    </xf>
    <xf numFmtId="175" fontId="7" fillId="3" borderId="14" xfId="0" applyNumberFormat="1" applyFont="1" applyFill="1" applyBorder="1" applyAlignment="1">
      <alignment/>
    </xf>
    <xf numFmtId="10" fontId="20" fillId="0" borderId="0" xfId="0" applyNumberFormat="1" applyFont="1" applyBorder="1" applyAlignment="1">
      <alignment/>
    </xf>
    <xf numFmtId="10" fontId="7" fillId="3" borderId="13" xfId="52" applyNumberFormat="1" applyFont="1" applyFill="1" applyBorder="1" applyAlignment="1">
      <alignment/>
    </xf>
    <xf numFmtId="175" fontId="56" fillId="0" borderId="27" xfId="46" applyNumberFormat="1" applyFont="1" applyBorder="1" applyAlignment="1">
      <alignment/>
    </xf>
    <xf numFmtId="0" fontId="6" fillId="14" borderId="33" xfId="0" applyFont="1" applyFill="1" applyBorder="1" applyAlignment="1">
      <alignment horizontal="left"/>
    </xf>
    <xf numFmtId="0" fontId="6" fillId="14" borderId="12" xfId="0" applyFont="1" applyFill="1" applyBorder="1" applyAlignment="1">
      <alignment horizontal="left"/>
    </xf>
    <xf numFmtId="0" fontId="7" fillId="14" borderId="12" xfId="0" applyFont="1" applyFill="1" applyBorder="1" applyAlignment="1">
      <alignment horizontal="left"/>
    </xf>
    <xf numFmtId="0" fontId="7" fillId="14" borderId="36" xfId="0" applyFont="1" applyFill="1" applyBorder="1" applyAlignment="1">
      <alignment horizontal="left"/>
    </xf>
    <xf numFmtId="0" fontId="6" fillId="14" borderId="29" xfId="0" applyFont="1" applyFill="1" applyBorder="1" applyAlignment="1">
      <alignment horizontal="left"/>
    </xf>
    <xf numFmtId="0" fontId="6" fillId="14" borderId="30" xfId="0" applyFont="1" applyFill="1" applyBorder="1" applyAlignment="1">
      <alignment horizontal="left"/>
    </xf>
    <xf numFmtId="0" fontId="8" fillId="14" borderId="30" xfId="0" applyFont="1" applyFill="1" applyBorder="1" applyAlignment="1">
      <alignment horizontal="left"/>
    </xf>
    <xf numFmtId="0" fontId="7" fillId="14" borderId="30" xfId="0" applyFont="1" applyFill="1" applyBorder="1" applyAlignment="1">
      <alignment horizontal="left"/>
    </xf>
    <xf numFmtId="0" fontId="7" fillId="14" borderId="31" xfId="0" applyFont="1" applyFill="1" applyBorder="1" applyAlignment="1">
      <alignment horizontal="left"/>
    </xf>
    <xf numFmtId="0" fontId="6" fillId="14" borderId="42" xfId="0" applyFont="1" applyFill="1" applyBorder="1" applyAlignment="1">
      <alignment/>
    </xf>
    <xf numFmtId="0" fontId="6" fillId="14" borderId="43" xfId="0" applyFont="1" applyFill="1" applyBorder="1" applyAlignment="1">
      <alignment/>
    </xf>
    <xf numFmtId="0" fontId="6" fillId="14" borderId="44" xfId="0" applyFont="1" applyFill="1" applyBorder="1" applyAlignment="1">
      <alignment/>
    </xf>
    <xf numFmtId="0" fontId="6" fillId="14" borderId="29" xfId="0" applyFont="1" applyFill="1" applyBorder="1" applyAlignment="1">
      <alignment/>
    </xf>
    <xf numFmtId="0" fontId="7" fillId="14" borderId="30" xfId="0" applyFont="1" applyFill="1" applyBorder="1" applyAlignment="1">
      <alignment/>
    </xf>
    <xf numFmtId="0" fontId="6" fillId="14" borderId="30" xfId="0" applyFont="1" applyFill="1" applyBorder="1" applyAlignment="1">
      <alignment/>
    </xf>
    <xf numFmtId="175" fontId="6" fillId="14" borderId="35" xfId="0" applyNumberFormat="1" applyFont="1" applyFill="1" applyBorder="1" applyAlignment="1">
      <alignment/>
    </xf>
    <xf numFmtId="0" fontId="7" fillId="14" borderId="45" xfId="0" applyFont="1" applyFill="1" applyBorder="1" applyAlignment="1">
      <alignment/>
    </xf>
    <xf numFmtId="0" fontId="8" fillId="14" borderId="30" xfId="0" applyFont="1" applyFill="1" applyBorder="1" applyAlignment="1">
      <alignment/>
    </xf>
    <xf numFmtId="175" fontId="8" fillId="14" borderId="35" xfId="0" applyNumberFormat="1" applyFont="1" applyFill="1" applyBorder="1" applyAlignment="1">
      <alignment/>
    </xf>
    <xf numFmtId="0" fontId="6" fillId="14" borderId="11" xfId="0" applyFont="1" applyFill="1" applyBorder="1" applyAlignment="1">
      <alignment/>
    </xf>
    <xf numFmtId="0" fontId="7" fillId="14" borderId="13" xfId="0" applyFont="1" applyFill="1" applyBorder="1" applyAlignment="1">
      <alignment/>
    </xf>
    <xf numFmtId="0" fontId="6" fillId="14" borderId="14" xfId="0" applyFont="1" applyFill="1" applyBorder="1" applyAlignment="1">
      <alignment/>
    </xf>
    <xf numFmtId="175" fontId="6" fillId="14" borderId="2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75" fontId="6" fillId="14" borderId="46" xfId="0" applyNumberFormat="1" applyFont="1" applyFill="1" applyBorder="1" applyAlignment="1">
      <alignment/>
    </xf>
    <xf numFmtId="9" fontId="12" fillId="37" borderId="47" xfId="0" applyNumberFormat="1" applyFont="1" applyFill="1" applyBorder="1" applyAlignment="1">
      <alignment/>
    </xf>
    <xf numFmtId="0" fontId="6" fillId="14" borderId="13" xfId="0" applyFont="1" applyFill="1" applyBorder="1" applyAlignment="1">
      <alignment/>
    </xf>
    <xf numFmtId="0" fontId="8" fillId="14" borderId="14" xfId="0" applyFont="1" applyFill="1" applyBorder="1" applyAlignment="1">
      <alignment/>
    </xf>
    <xf numFmtId="0" fontId="7" fillId="25" borderId="11" xfId="0" applyFont="1" applyFill="1" applyBorder="1" applyAlignment="1">
      <alignment/>
    </xf>
    <xf numFmtId="0" fontId="7" fillId="25" borderId="13" xfId="0" applyFont="1" applyFill="1" applyBorder="1" applyAlignment="1">
      <alignment/>
    </xf>
    <xf numFmtId="175" fontId="7" fillId="25" borderId="13" xfId="46" applyNumberFormat="1" applyFont="1" applyFill="1" applyBorder="1" applyAlignment="1">
      <alignment/>
    </xf>
    <xf numFmtId="10" fontId="7" fillId="25" borderId="13" xfId="52" applyNumberFormat="1" applyFont="1" applyFill="1" applyBorder="1" applyAlignment="1" applyProtection="1">
      <alignment/>
      <protection/>
    </xf>
    <xf numFmtId="191" fontId="7" fillId="25" borderId="0" xfId="46" applyNumberFormat="1" applyFont="1" applyFill="1" applyBorder="1" applyAlignment="1">
      <alignment/>
    </xf>
    <xf numFmtId="0" fontId="19" fillId="25" borderId="0" xfId="0" applyFont="1" applyFill="1" applyBorder="1" applyAlignment="1">
      <alignment/>
    </xf>
    <xf numFmtId="175" fontId="12" fillId="25" borderId="19" xfId="46" applyNumberFormat="1" applyFont="1" applyFill="1" applyBorder="1" applyAlignment="1">
      <alignment/>
    </xf>
    <xf numFmtId="10" fontId="7" fillId="25" borderId="0" xfId="0" applyNumberFormat="1" applyFont="1" applyFill="1" applyBorder="1" applyAlignment="1">
      <alignment/>
    </xf>
    <xf numFmtId="175" fontId="7" fillId="25" borderId="27" xfId="46" applyNumberFormat="1" applyFont="1" applyFill="1" applyBorder="1" applyAlignment="1">
      <alignment/>
    </xf>
    <xf numFmtId="175" fontId="7" fillId="25" borderId="19" xfId="46" applyNumberFormat="1" applyFont="1" applyFill="1" applyBorder="1" applyAlignment="1">
      <alignment/>
    </xf>
    <xf numFmtId="10" fontId="7" fillId="25" borderId="19" xfId="0" applyNumberFormat="1" applyFont="1" applyFill="1" applyBorder="1" applyAlignment="1">
      <alignment/>
    </xf>
    <xf numFmtId="0" fontId="7" fillId="25" borderId="33" xfId="0" applyFont="1" applyFill="1" applyBorder="1" applyAlignment="1">
      <alignment/>
    </xf>
    <xf numFmtId="175" fontId="7" fillId="25" borderId="12" xfId="0" applyNumberFormat="1" applyFont="1" applyFill="1" applyBorder="1" applyAlignment="1">
      <alignment/>
    </xf>
    <xf numFmtId="175" fontId="11" fillId="25" borderId="12" xfId="46" applyNumberFormat="1" applyFont="1" applyFill="1" applyBorder="1" applyAlignment="1">
      <alignment/>
    </xf>
    <xf numFmtId="175" fontId="6" fillId="25" borderId="34" xfId="46" applyNumberFormat="1" applyFont="1" applyFill="1" applyBorder="1" applyAlignment="1" applyProtection="1">
      <alignment/>
      <protection/>
    </xf>
    <xf numFmtId="0" fontId="7" fillId="25" borderId="29" xfId="0" applyFont="1" applyFill="1" applyBorder="1" applyAlignment="1">
      <alignment/>
    </xf>
    <xf numFmtId="175" fontId="7" fillId="25" borderId="30" xfId="0" applyNumberFormat="1" applyFont="1" applyFill="1" applyBorder="1" applyAlignment="1">
      <alignment/>
    </xf>
    <xf numFmtId="175" fontId="11" fillId="25" borderId="30" xfId="0" applyNumberFormat="1" applyFont="1" applyFill="1" applyBorder="1" applyAlignment="1" applyProtection="1">
      <alignment/>
      <protection/>
    </xf>
    <xf numFmtId="175" fontId="6" fillId="25" borderId="35" xfId="0" applyNumberFormat="1" applyFont="1" applyFill="1" applyBorder="1" applyAlignment="1">
      <alignment/>
    </xf>
    <xf numFmtId="171" fontId="7" fillId="25" borderId="11" xfId="0" applyNumberFormat="1" applyFont="1" applyFill="1" applyBorder="1" applyAlignment="1">
      <alignment/>
    </xf>
    <xf numFmtId="171" fontId="6" fillId="25" borderId="14" xfId="0" applyNumberFormat="1" applyFont="1" applyFill="1" applyBorder="1" applyAlignment="1">
      <alignment/>
    </xf>
    <xf numFmtId="175" fontId="6" fillId="25" borderId="12" xfId="0" applyNumberFormat="1" applyFont="1" applyFill="1" applyBorder="1" applyAlignment="1">
      <alignment/>
    </xf>
    <xf numFmtId="0" fontId="7" fillId="25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75" fontId="21" fillId="0" borderId="0" xfId="0" applyNumberFormat="1" applyFont="1" applyFill="1" applyBorder="1" applyAlignment="1">
      <alignment horizontal="right"/>
    </xf>
    <xf numFmtId="0" fontId="6" fillId="25" borderId="0" xfId="0" applyFont="1" applyFill="1" applyBorder="1" applyAlignment="1">
      <alignment/>
    </xf>
    <xf numFmtId="175" fontId="12" fillId="25" borderId="47" xfId="0" applyNumberFormat="1" applyFont="1" applyFill="1" applyBorder="1" applyAlignment="1">
      <alignment/>
    </xf>
    <xf numFmtId="0" fontId="7" fillId="45" borderId="0" xfId="0" applyFont="1" applyFill="1" applyBorder="1" applyAlignment="1">
      <alignment/>
    </xf>
    <xf numFmtId="0" fontId="7" fillId="46" borderId="21" xfId="0" applyFont="1" applyFill="1" applyBorder="1" applyAlignment="1">
      <alignment/>
    </xf>
    <xf numFmtId="0" fontId="7" fillId="46" borderId="20" xfId="0" applyFont="1" applyFill="1" applyBorder="1" applyAlignment="1">
      <alignment/>
    </xf>
    <xf numFmtId="175" fontId="7" fillId="46" borderId="18" xfId="46" applyNumberFormat="1" applyFont="1" applyFill="1" applyBorder="1" applyAlignment="1">
      <alignment/>
    </xf>
    <xf numFmtId="0" fontId="6" fillId="46" borderId="21" xfId="0" applyFont="1" applyFill="1" applyBorder="1" applyAlignment="1">
      <alignment/>
    </xf>
    <xf numFmtId="175" fontId="7" fillId="0" borderId="23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10" fontId="7" fillId="0" borderId="0" xfId="52" applyNumberFormat="1" applyFont="1" applyFill="1" applyBorder="1" applyAlignment="1">
      <alignment/>
    </xf>
    <xf numFmtId="10" fontId="7" fillId="0" borderId="26" xfId="52" applyNumberFormat="1" applyFont="1" applyFill="1" applyBorder="1" applyAlignment="1">
      <alignment/>
    </xf>
    <xf numFmtId="175" fontId="7" fillId="0" borderId="15" xfId="0" applyNumberFormat="1" applyFont="1" applyFill="1" applyBorder="1" applyAlignment="1">
      <alignment/>
    </xf>
    <xf numFmtId="175" fontId="7" fillId="0" borderId="16" xfId="0" applyNumberFormat="1" applyFont="1" applyFill="1" applyBorder="1" applyAlignment="1">
      <alignment/>
    </xf>
    <xf numFmtId="10" fontId="7" fillId="0" borderId="16" xfId="52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10" fontId="7" fillId="0" borderId="17" xfId="52" applyNumberFormat="1" applyFont="1" applyFill="1" applyBorder="1" applyAlignment="1">
      <alignment/>
    </xf>
    <xf numFmtId="0" fontId="6" fillId="44" borderId="39" xfId="0" applyFont="1" applyFill="1" applyBorder="1" applyAlignment="1">
      <alignment/>
    </xf>
    <xf numFmtId="0" fontId="7" fillId="44" borderId="10" xfId="0" applyFont="1" applyFill="1" applyBorder="1" applyAlignment="1">
      <alignment/>
    </xf>
    <xf numFmtId="0" fontId="7" fillId="44" borderId="32" xfId="0" applyFont="1" applyFill="1" applyBorder="1" applyAlignment="1">
      <alignment/>
    </xf>
    <xf numFmtId="189" fontId="6" fillId="38" borderId="48" xfId="46" applyNumberFormat="1" applyFont="1" applyFill="1" applyBorder="1" applyAlignment="1">
      <alignment/>
    </xf>
    <xf numFmtId="0" fontId="7" fillId="0" borderId="22" xfId="0" applyFont="1" applyBorder="1" applyAlignment="1">
      <alignment/>
    </xf>
    <xf numFmtId="0" fontId="6" fillId="47" borderId="18" xfId="0" applyFont="1" applyFill="1" applyBorder="1" applyAlignment="1">
      <alignment/>
    </xf>
    <xf numFmtId="0" fontId="6" fillId="45" borderId="18" xfId="0" applyFont="1" applyFill="1" applyBorder="1" applyAlignment="1">
      <alignment/>
    </xf>
    <xf numFmtId="0" fontId="19" fillId="40" borderId="0" xfId="0" applyFont="1" applyFill="1" applyBorder="1" applyAlignment="1">
      <alignment/>
    </xf>
    <xf numFmtId="175" fontId="12" fillId="40" borderId="19" xfId="46" applyNumberFormat="1" applyFont="1" applyFill="1" applyBorder="1" applyAlignment="1">
      <alignment/>
    </xf>
    <xf numFmtId="9" fontId="7" fillId="40" borderId="0" xfId="0" applyNumberFormat="1" applyFont="1" applyFill="1" applyBorder="1" applyAlignment="1">
      <alignment/>
    </xf>
    <xf numFmtId="10" fontId="7" fillId="40" borderId="0" xfId="0" applyNumberFormat="1" applyFont="1" applyFill="1" applyBorder="1" applyAlignment="1">
      <alignment/>
    </xf>
    <xf numFmtId="0" fontId="6" fillId="45" borderId="39" xfId="0" applyFont="1" applyFill="1" applyBorder="1" applyAlignment="1">
      <alignment/>
    </xf>
    <xf numFmtId="0" fontId="7" fillId="45" borderId="10" xfId="0" applyFont="1" applyFill="1" applyBorder="1" applyAlignment="1">
      <alignment/>
    </xf>
    <xf numFmtId="0" fontId="5" fillId="45" borderId="32" xfId="0" applyFont="1" applyFill="1" applyBorder="1" applyAlignment="1">
      <alignment/>
    </xf>
    <xf numFmtId="0" fontId="7" fillId="45" borderId="23" xfId="0" applyFont="1" applyFill="1" applyBorder="1" applyAlignment="1">
      <alignment/>
    </xf>
    <xf numFmtId="0" fontId="5" fillId="45" borderId="26" xfId="0" applyFont="1" applyFill="1" applyBorder="1" applyAlignment="1">
      <alignment/>
    </xf>
    <xf numFmtId="199" fontId="7" fillId="45" borderId="0" xfId="48" applyNumberFormat="1" applyFont="1" applyFill="1" applyBorder="1" applyAlignment="1">
      <alignment/>
    </xf>
    <xf numFmtId="0" fontId="7" fillId="45" borderId="26" xfId="0" applyFont="1" applyFill="1" applyBorder="1" applyAlignment="1">
      <alignment/>
    </xf>
    <xf numFmtId="189" fontId="7" fillId="45" borderId="0" xfId="0" applyNumberFormat="1" applyFont="1" applyFill="1" applyBorder="1" applyAlignment="1">
      <alignment/>
    </xf>
    <xf numFmtId="0" fontId="7" fillId="45" borderId="15" xfId="0" applyFont="1" applyFill="1" applyBorder="1" applyAlignment="1">
      <alignment/>
    </xf>
    <xf numFmtId="0" fontId="7" fillId="45" borderId="16" xfId="0" applyFont="1" applyFill="1" applyBorder="1" applyAlignment="1">
      <alignment/>
    </xf>
    <xf numFmtId="0" fontId="7" fillId="45" borderId="17" xfId="0" applyFont="1" applyFill="1" applyBorder="1" applyAlignment="1">
      <alignment/>
    </xf>
    <xf numFmtId="0" fontId="6" fillId="44" borderId="36" xfId="0" applyFont="1" applyFill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46</xdr:row>
      <xdr:rowOff>38100</xdr:rowOff>
    </xdr:from>
    <xdr:to>
      <xdr:col>7</xdr:col>
      <xdr:colOff>828675</xdr:colOff>
      <xdr:row>47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3571875" y="5991225"/>
          <a:ext cx="34480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1047750</xdr:colOff>
      <xdr:row>47</xdr:row>
      <xdr:rowOff>95250</xdr:rowOff>
    </xdr:from>
    <xdr:to>
      <xdr:col>7</xdr:col>
      <xdr:colOff>800100</xdr:colOff>
      <xdr:row>49</xdr:row>
      <xdr:rowOff>47625</xdr:rowOff>
    </xdr:to>
    <xdr:sp>
      <xdr:nvSpPr>
        <xdr:cNvPr id="2" name="Line 3"/>
        <xdr:cNvSpPr>
          <a:spLocks/>
        </xdr:cNvSpPr>
      </xdr:nvSpPr>
      <xdr:spPr>
        <a:xfrm flipH="1">
          <a:off x="6181725" y="6248400"/>
          <a:ext cx="8096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914400</xdr:colOff>
      <xdr:row>50</xdr:row>
      <xdr:rowOff>0</xdr:rowOff>
    </xdr:from>
    <xdr:to>
      <xdr:col>7</xdr:col>
      <xdr:colOff>809625</xdr:colOff>
      <xdr:row>50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4419600" y="6753225"/>
          <a:ext cx="2581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104775</xdr:rowOff>
    </xdr:from>
    <xdr:to>
      <xdr:col>7</xdr:col>
      <xdr:colOff>828675</xdr:colOff>
      <xdr:row>3</xdr:row>
      <xdr:rowOff>104775</xdr:rowOff>
    </xdr:to>
    <xdr:sp>
      <xdr:nvSpPr>
        <xdr:cNvPr id="4" name="Line 5"/>
        <xdr:cNvSpPr>
          <a:spLocks/>
        </xdr:cNvSpPr>
      </xdr:nvSpPr>
      <xdr:spPr>
        <a:xfrm flipH="1">
          <a:off x="1762125" y="104775"/>
          <a:ext cx="52578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57150</xdr:rowOff>
    </xdr:from>
    <xdr:to>
      <xdr:col>7</xdr:col>
      <xdr:colOff>809625</xdr:colOff>
      <xdr:row>3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5172075" y="447675"/>
          <a:ext cx="1828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114300</xdr:rowOff>
    </xdr:from>
    <xdr:to>
      <xdr:col>7</xdr:col>
      <xdr:colOff>790575</xdr:colOff>
      <xdr:row>43</xdr:row>
      <xdr:rowOff>133350</xdr:rowOff>
    </xdr:to>
    <xdr:sp>
      <xdr:nvSpPr>
        <xdr:cNvPr id="6" name="Line 6"/>
        <xdr:cNvSpPr>
          <a:spLocks/>
        </xdr:cNvSpPr>
      </xdr:nvSpPr>
      <xdr:spPr>
        <a:xfrm flipH="1">
          <a:off x="6219825" y="1076325"/>
          <a:ext cx="762000" cy="439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95250</xdr:rowOff>
    </xdr:from>
    <xdr:to>
      <xdr:col>7</xdr:col>
      <xdr:colOff>838200</xdr:colOff>
      <xdr:row>6</xdr:row>
      <xdr:rowOff>114300</xdr:rowOff>
    </xdr:to>
    <xdr:sp>
      <xdr:nvSpPr>
        <xdr:cNvPr id="7" name="Line 6"/>
        <xdr:cNvSpPr>
          <a:spLocks/>
        </xdr:cNvSpPr>
      </xdr:nvSpPr>
      <xdr:spPr>
        <a:xfrm flipH="1">
          <a:off x="5162550" y="676275"/>
          <a:ext cx="1866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47</xdr:row>
      <xdr:rowOff>38100</xdr:rowOff>
    </xdr:from>
    <xdr:to>
      <xdr:col>7</xdr:col>
      <xdr:colOff>828675</xdr:colOff>
      <xdr:row>48</xdr:row>
      <xdr:rowOff>104775</xdr:rowOff>
    </xdr:to>
    <xdr:sp>
      <xdr:nvSpPr>
        <xdr:cNvPr id="1" name="Line 2"/>
        <xdr:cNvSpPr>
          <a:spLocks/>
        </xdr:cNvSpPr>
      </xdr:nvSpPr>
      <xdr:spPr>
        <a:xfrm flipH="1">
          <a:off x="3571875" y="6191250"/>
          <a:ext cx="34480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1047750</xdr:colOff>
      <xdr:row>48</xdr:row>
      <xdr:rowOff>95250</xdr:rowOff>
    </xdr:from>
    <xdr:to>
      <xdr:col>7</xdr:col>
      <xdr:colOff>800100</xdr:colOff>
      <xdr:row>50</xdr:row>
      <xdr:rowOff>47625</xdr:rowOff>
    </xdr:to>
    <xdr:sp>
      <xdr:nvSpPr>
        <xdr:cNvPr id="2" name="Line 3"/>
        <xdr:cNvSpPr>
          <a:spLocks/>
        </xdr:cNvSpPr>
      </xdr:nvSpPr>
      <xdr:spPr>
        <a:xfrm flipH="1">
          <a:off x="6181725" y="6448425"/>
          <a:ext cx="8096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914400</xdr:colOff>
      <xdr:row>51</xdr:row>
      <xdr:rowOff>0</xdr:rowOff>
    </xdr:from>
    <xdr:to>
      <xdr:col>7</xdr:col>
      <xdr:colOff>809625</xdr:colOff>
      <xdr:row>51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4419600" y="6953250"/>
          <a:ext cx="25812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104775</xdr:rowOff>
    </xdr:from>
    <xdr:to>
      <xdr:col>7</xdr:col>
      <xdr:colOff>828675</xdr:colOff>
      <xdr:row>3</xdr:row>
      <xdr:rowOff>104775</xdr:rowOff>
    </xdr:to>
    <xdr:sp>
      <xdr:nvSpPr>
        <xdr:cNvPr id="4" name="Line 5"/>
        <xdr:cNvSpPr>
          <a:spLocks/>
        </xdr:cNvSpPr>
      </xdr:nvSpPr>
      <xdr:spPr>
        <a:xfrm flipH="1">
          <a:off x="1762125" y="104775"/>
          <a:ext cx="52578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57150</xdr:rowOff>
    </xdr:from>
    <xdr:to>
      <xdr:col>7</xdr:col>
      <xdr:colOff>809625</xdr:colOff>
      <xdr:row>3</xdr:row>
      <xdr:rowOff>104775</xdr:rowOff>
    </xdr:to>
    <xdr:sp>
      <xdr:nvSpPr>
        <xdr:cNvPr id="5" name="Line 6"/>
        <xdr:cNvSpPr>
          <a:spLocks/>
        </xdr:cNvSpPr>
      </xdr:nvSpPr>
      <xdr:spPr>
        <a:xfrm flipH="1">
          <a:off x="5172075" y="447675"/>
          <a:ext cx="1828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114300</xdr:rowOff>
    </xdr:from>
    <xdr:to>
      <xdr:col>7</xdr:col>
      <xdr:colOff>790575</xdr:colOff>
      <xdr:row>44</xdr:row>
      <xdr:rowOff>133350</xdr:rowOff>
    </xdr:to>
    <xdr:sp>
      <xdr:nvSpPr>
        <xdr:cNvPr id="6" name="Line 6"/>
        <xdr:cNvSpPr>
          <a:spLocks/>
        </xdr:cNvSpPr>
      </xdr:nvSpPr>
      <xdr:spPr>
        <a:xfrm flipH="1">
          <a:off x="6219825" y="1076325"/>
          <a:ext cx="76200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95250</xdr:rowOff>
    </xdr:from>
    <xdr:to>
      <xdr:col>7</xdr:col>
      <xdr:colOff>838200</xdr:colOff>
      <xdr:row>6</xdr:row>
      <xdr:rowOff>114300</xdr:rowOff>
    </xdr:to>
    <xdr:sp>
      <xdr:nvSpPr>
        <xdr:cNvPr id="7" name="Line 6"/>
        <xdr:cNvSpPr>
          <a:spLocks/>
        </xdr:cNvSpPr>
      </xdr:nvSpPr>
      <xdr:spPr>
        <a:xfrm flipH="1">
          <a:off x="5162550" y="676275"/>
          <a:ext cx="1866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104775</xdr:rowOff>
    </xdr:from>
    <xdr:to>
      <xdr:col>7</xdr:col>
      <xdr:colOff>828675</xdr:colOff>
      <xdr:row>3</xdr:row>
      <xdr:rowOff>104775</xdr:rowOff>
    </xdr:to>
    <xdr:sp>
      <xdr:nvSpPr>
        <xdr:cNvPr id="1" name="Line 5"/>
        <xdr:cNvSpPr>
          <a:spLocks/>
        </xdr:cNvSpPr>
      </xdr:nvSpPr>
      <xdr:spPr>
        <a:xfrm flipH="1">
          <a:off x="1762125" y="104775"/>
          <a:ext cx="52578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57150</xdr:rowOff>
    </xdr:from>
    <xdr:to>
      <xdr:col>7</xdr:col>
      <xdr:colOff>809625</xdr:colOff>
      <xdr:row>3</xdr:row>
      <xdr:rowOff>104775</xdr:rowOff>
    </xdr:to>
    <xdr:sp>
      <xdr:nvSpPr>
        <xdr:cNvPr id="2" name="Line 6"/>
        <xdr:cNvSpPr>
          <a:spLocks/>
        </xdr:cNvSpPr>
      </xdr:nvSpPr>
      <xdr:spPr>
        <a:xfrm flipH="1">
          <a:off x="5172075" y="447675"/>
          <a:ext cx="1828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114300</xdr:rowOff>
    </xdr:from>
    <xdr:to>
      <xdr:col>7</xdr:col>
      <xdr:colOff>790575</xdr:colOff>
      <xdr:row>44</xdr:row>
      <xdr:rowOff>133350</xdr:rowOff>
    </xdr:to>
    <xdr:sp>
      <xdr:nvSpPr>
        <xdr:cNvPr id="3" name="Line 6"/>
        <xdr:cNvSpPr>
          <a:spLocks/>
        </xdr:cNvSpPr>
      </xdr:nvSpPr>
      <xdr:spPr>
        <a:xfrm flipH="1">
          <a:off x="6219825" y="1076325"/>
          <a:ext cx="762000" cy="459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95250</xdr:rowOff>
    </xdr:from>
    <xdr:to>
      <xdr:col>7</xdr:col>
      <xdr:colOff>838200</xdr:colOff>
      <xdr:row>6</xdr:row>
      <xdr:rowOff>114300</xdr:rowOff>
    </xdr:to>
    <xdr:sp>
      <xdr:nvSpPr>
        <xdr:cNvPr id="4" name="Line 6"/>
        <xdr:cNvSpPr>
          <a:spLocks/>
        </xdr:cNvSpPr>
      </xdr:nvSpPr>
      <xdr:spPr>
        <a:xfrm flipH="1">
          <a:off x="5162550" y="676275"/>
          <a:ext cx="1866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4"/>
  <dimension ref="A1:AI67"/>
  <sheetViews>
    <sheetView showGridLines="0" showRowColHeaders="0" tabSelected="1" zoomScalePageLayoutView="0" workbookViewId="0" topLeftCell="A1">
      <selection activeCell="B4" sqref="B4"/>
    </sheetView>
  </sheetViews>
  <sheetFormatPr defaultColWidth="11.00390625" defaultRowHeight="14.25"/>
  <cols>
    <col min="1" max="1" width="11.00390625" style="2" customWidth="1"/>
    <col min="2" max="2" width="12.00390625" style="2" bestFit="1" customWidth="1"/>
    <col min="3" max="3" width="11.00390625" style="2" customWidth="1"/>
    <col min="4" max="4" width="12.00390625" style="2" bestFit="1" customWidth="1"/>
    <col min="5" max="5" width="12.625" style="2" bestFit="1" customWidth="1"/>
    <col min="6" max="6" width="8.75390625" style="2" customWidth="1"/>
    <col min="7" max="7" width="13.875" style="2" customWidth="1"/>
    <col min="8" max="8" width="11.00390625" style="2" customWidth="1"/>
    <col min="9" max="9" width="7.50390625" style="2" customWidth="1"/>
    <col min="10" max="16384" width="11.00390625" style="2" customWidth="1"/>
  </cols>
  <sheetData>
    <row r="1" spans="2:18" s="1" customFormat="1" ht="15">
      <c r="B1" s="203" t="s">
        <v>44</v>
      </c>
      <c r="C1" s="204"/>
      <c r="D1" s="204"/>
      <c r="E1" s="204"/>
      <c r="F1" s="205"/>
      <c r="G1" s="315">
        <v>2018</v>
      </c>
      <c r="H1" s="7"/>
      <c r="I1" s="142" t="s">
        <v>66</v>
      </c>
      <c r="J1" s="143"/>
      <c r="K1" s="143"/>
      <c r="L1" s="143"/>
      <c r="M1" s="143"/>
      <c r="N1" s="143"/>
      <c r="O1" s="144"/>
      <c r="P1" s="2"/>
      <c r="Q1" s="2"/>
      <c r="R1" s="2"/>
    </row>
    <row r="2" spans="2:18" s="1" customFormat="1" ht="15.75" thickBot="1">
      <c r="B2" s="206" t="s">
        <v>64</v>
      </c>
      <c r="C2" s="207"/>
      <c r="D2" s="207"/>
      <c r="E2" s="208"/>
      <c r="F2" s="209"/>
      <c r="G2" s="210"/>
      <c r="H2" s="7"/>
      <c r="I2" s="145" t="s">
        <v>65</v>
      </c>
      <c r="J2" s="130"/>
      <c r="K2" s="130"/>
      <c r="L2" s="130"/>
      <c r="M2" s="130"/>
      <c r="N2" s="130"/>
      <c r="O2" s="192"/>
      <c r="P2" s="2"/>
      <c r="Q2" s="2"/>
      <c r="R2" s="2"/>
    </row>
    <row r="3" spans="1:15" ht="15" thickBot="1">
      <c r="A3" s="10"/>
      <c r="B3" s="11"/>
      <c r="C3" s="12"/>
      <c r="D3" s="11"/>
      <c r="E3" s="13"/>
      <c r="F3" s="14"/>
      <c r="G3" s="7"/>
      <c r="H3" s="7"/>
      <c r="I3" s="23" t="s">
        <v>45</v>
      </c>
      <c r="J3" s="24"/>
      <c r="K3" s="24"/>
      <c r="L3" s="24"/>
      <c r="M3" s="24"/>
      <c r="N3" s="24"/>
      <c r="O3" s="25"/>
    </row>
    <row r="4" spans="1:15" ht="15" thickBot="1">
      <c r="A4" s="122" t="s">
        <v>1</v>
      </c>
      <c r="B4" s="18">
        <f>D48/2</f>
        <v>8500</v>
      </c>
      <c r="C4" s="7"/>
      <c r="D4" s="50"/>
      <c r="E4" s="211" t="s">
        <v>11</v>
      </c>
      <c r="F4" s="19">
        <v>0</v>
      </c>
      <c r="G4" s="7"/>
      <c r="H4" s="7"/>
      <c r="I4" s="23" t="s">
        <v>39</v>
      </c>
      <c r="J4" s="24"/>
      <c r="K4" s="24"/>
      <c r="L4" s="24"/>
      <c r="M4" s="24"/>
      <c r="N4" s="24"/>
      <c r="O4" s="25"/>
    </row>
    <row r="5" spans="1:14" ht="15" thickBot="1">
      <c r="A5" s="20" t="s">
        <v>33</v>
      </c>
      <c r="B5" s="21"/>
      <c r="C5" s="22"/>
      <c r="D5" s="50"/>
      <c r="E5" s="212" t="s">
        <v>27</v>
      </c>
      <c r="F5" s="91"/>
      <c r="G5" s="7"/>
      <c r="H5" s="7"/>
      <c r="I5" s="7"/>
      <c r="J5" s="7"/>
      <c r="K5" s="7"/>
      <c r="L5" s="7"/>
      <c r="M5" s="7"/>
      <c r="N5" s="7"/>
    </row>
    <row r="6" spans="1:33" ht="15.75" thickBot="1">
      <c r="A6" s="7"/>
      <c r="C6" s="7"/>
      <c r="D6" s="93" t="s">
        <v>2</v>
      </c>
      <c r="E6" s="94"/>
      <c r="F6" s="95">
        <f>B4+F4+F7</f>
        <v>8500</v>
      </c>
      <c r="G6" s="7"/>
      <c r="H6" s="7"/>
      <c r="I6" s="146" t="s">
        <v>40</v>
      </c>
      <c r="J6" s="147"/>
      <c r="K6" s="147"/>
      <c r="L6" s="147"/>
      <c r="M6" s="147"/>
      <c r="N6" s="148"/>
      <c r="O6" s="4"/>
      <c r="P6" s="4"/>
      <c r="Q6" s="4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3:33" ht="17.25" thickBot="1">
      <c r="C7" s="213" t="s">
        <v>46</v>
      </c>
      <c r="D7" s="214"/>
      <c r="E7" s="215"/>
      <c r="F7" s="92">
        <v>0</v>
      </c>
      <c r="G7" s="7"/>
      <c r="H7" s="26"/>
      <c r="I7" s="7"/>
      <c r="J7" s="7"/>
      <c r="K7" s="7"/>
      <c r="L7" s="7"/>
      <c r="M7" s="7"/>
      <c r="N7" s="7"/>
      <c r="O7" s="4"/>
      <c r="P7" s="5"/>
      <c r="Q7" s="4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7.25" hidden="1" thickBot="1">
      <c r="A8" s="7"/>
      <c r="B8" s="7"/>
      <c r="C8" s="7"/>
      <c r="D8" s="7"/>
      <c r="E8" s="7"/>
      <c r="F8" s="7"/>
      <c r="G8" s="7"/>
      <c r="H8" s="26"/>
      <c r="I8" s="26"/>
      <c r="J8" s="26"/>
      <c r="K8" s="26"/>
      <c r="L8" s="26"/>
      <c r="M8" s="26"/>
      <c r="N8" s="26"/>
      <c r="O8" s="4"/>
      <c r="P8" s="4"/>
      <c r="Q8" s="4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7.25" hidden="1" thickBot="1">
      <c r="A9" s="7"/>
      <c r="B9" s="7"/>
      <c r="C9" s="7"/>
      <c r="D9" s="7"/>
      <c r="E9" s="7"/>
      <c r="F9" s="7"/>
      <c r="G9" s="7"/>
      <c r="H9" s="26"/>
      <c r="I9" s="26"/>
      <c r="J9" s="26"/>
      <c r="K9" s="26"/>
      <c r="L9" s="26"/>
      <c r="M9" s="26"/>
      <c r="N9" s="26"/>
      <c r="O9" s="4"/>
      <c r="P9" s="4"/>
      <c r="Q9" s="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6.5">
      <c r="A10" s="195"/>
      <c r="B10" s="196" t="s">
        <v>5</v>
      </c>
      <c r="C10" s="196"/>
      <c r="D10" s="196"/>
      <c r="E10" s="196"/>
      <c r="F10" s="196"/>
      <c r="G10" s="197"/>
      <c r="H10" s="26"/>
      <c r="I10" s="26"/>
      <c r="J10" s="26"/>
      <c r="K10" s="26"/>
      <c r="L10" s="26"/>
      <c r="M10" s="26"/>
      <c r="N10" s="26"/>
      <c r="O10" s="6"/>
      <c r="P10" s="4"/>
      <c r="Q10" s="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6.5">
      <c r="A11" s="27"/>
      <c r="B11" s="14"/>
      <c r="C11" s="14"/>
      <c r="D11" s="14"/>
      <c r="E11" s="28" t="s">
        <v>15</v>
      </c>
      <c r="F11" s="29" t="s">
        <v>16</v>
      </c>
      <c r="G11" s="30" t="s">
        <v>0</v>
      </c>
      <c r="H11" s="26"/>
      <c r="I11" s="26"/>
      <c r="J11" s="26"/>
      <c r="K11" s="26"/>
      <c r="L11" s="26"/>
      <c r="M11" s="26"/>
      <c r="N11" s="26"/>
      <c r="O11" s="4"/>
      <c r="P11" s="4"/>
      <c r="Q11" s="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6.5" hidden="1">
      <c r="A12" s="27"/>
      <c r="B12" s="14"/>
      <c r="C12" s="14"/>
      <c r="D12" s="14"/>
      <c r="E12" s="31" t="b">
        <f>IF(11885,F13&lt;11885)</f>
        <v>1</v>
      </c>
      <c r="F12" s="31" t="s">
        <v>14</v>
      </c>
      <c r="G12" s="32"/>
      <c r="H12" s="26"/>
      <c r="I12" s="26"/>
      <c r="J12" s="26"/>
      <c r="K12" s="26"/>
      <c r="L12" s="26"/>
      <c r="M12" s="26"/>
      <c r="N12" s="26"/>
      <c r="O12" s="4"/>
      <c r="P12" s="4"/>
      <c r="Q12" s="4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0" customHeight="1" hidden="1">
      <c r="A13" s="27"/>
      <c r="B13" s="14"/>
      <c r="C13" s="14"/>
      <c r="D13" s="14"/>
      <c r="E13" s="14"/>
      <c r="F13" s="14"/>
      <c r="G13" s="33"/>
      <c r="H13" s="26"/>
      <c r="I13" s="26"/>
      <c r="J13" s="26"/>
      <c r="K13" s="26"/>
      <c r="L13" s="26"/>
      <c r="M13" s="26"/>
      <c r="N13" s="26"/>
      <c r="O13" s="4"/>
      <c r="P13" s="4"/>
      <c r="Q13" s="4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6.5" hidden="1">
      <c r="A14" s="27"/>
      <c r="B14" s="14"/>
      <c r="C14" s="14"/>
      <c r="D14" s="14"/>
      <c r="E14" s="14" t="b">
        <f>IF(3804,F15&lt;3804)</f>
        <v>0</v>
      </c>
      <c r="F14" s="14" t="s">
        <v>17</v>
      </c>
      <c r="G14" s="33"/>
      <c r="H14" s="26"/>
      <c r="I14" s="26"/>
      <c r="J14" s="26"/>
      <c r="K14" s="26"/>
      <c r="L14" s="26"/>
      <c r="M14" s="26"/>
      <c r="N14" s="26"/>
      <c r="O14" s="4"/>
      <c r="P14" s="4"/>
      <c r="Q14" s="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3" customFormat="1" ht="12" customHeight="1">
      <c r="A15" s="27"/>
      <c r="B15" s="96" t="s">
        <v>20</v>
      </c>
      <c r="C15" s="97"/>
      <c r="D15" s="97"/>
      <c r="E15" s="98">
        <f>B4</f>
        <v>8500</v>
      </c>
      <c r="F15" s="99">
        <f>F6</f>
        <v>8500</v>
      </c>
      <c r="G15" s="100">
        <f>B4*((6.5%-1.5%)*(1-(B4/43705)))</f>
        <v>342.3435533691798</v>
      </c>
      <c r="H15" s="139" t="s">
        <v>43</v>
      </c>
      <c r="I15" s="131" t="s">
        <v>107</v>
      </c>
      <c r="J15" s="132"/>
      <c r="K15" s="132"/>
      <c r="L15" s="132"/>
      <c r="M15" s="132"/>
      <c r="N15" s="132"/>
      <c r="O15" s="133"/>
      <c r="P15" s="4"/>
      <c r="Q15" s="4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6.5" hidden="1">
      <c r="A16" s="27"/>
      <c r="B16" s="14"/>
      <c r="C16" s="14"/>
      <c r="D16" s="14"/>
      <c r="E16" s="14"/>
      <c r="F16" s="14"/>
      <c r="G16" s="33"/>
      <c r="H16" s="26"/>
      <c r="I16" s="134"/>
      <c r="J16" s="128"/>
      <c r="K16" s="128"/>
      <c r="L16" s="128"/>
      <c r="M16" s="128"/>
      <c r="N16" s="128"/>
      <c r="O16" s="135"/>
      <c r="P16" s="4"/>
      <c r="Q16" s="4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6.5">
      <c r="A17" s="35"/>
      <c r="B17" s="14"/>
      <c r="C17" s="36"/>
      <c r="D17" s="161" t="s">
        <v>31</v>
      </c>
      <c r="E17" s="159"/>
      <c r="F17" s="164"/>
      <c r="G17" s="163">
        <f>+G15</f>
        <v>342.3435533691798</v>
      </c>
      <c r="H17" s="26"/>
      <c r="I17" s="136" t="s">
        <v>108</v>
      </c>
      <c r="J17" s="137"/>
      <c r="K17" s="137"/>
      <c r="L17" s="137"/>
      <c r="M17" s="137"/>
      <c r="N17" s="137"/>
      <c r="O17" s="138"/>
      <c r="P17" s="4"/>
      <c r="Q17" s="4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2" customHeight="1" hidden="1">
      <c r="A18" s="37"/>
      <c r="B18" s="38"/>
      <c r="C18" s="38"/>
      <c r="D18" s="14"/>
      <c r="E18" s="39"/>
      <c r="F18" s="38"/>
      <c r="G18" s="40"/>
      <c r="H18" s="26"/>
      <c r="I18" s="26"/>
      <c r="J18" s="26"/>
      <c r="K18" s="26"/>
      <c r="L18" s="26"/>
      <c r="M18" s="26"/>
      <c r="N18" s="26"/>
      <c r="O18" s="4"/>
      <c r="P18" s="4"/>
      <c r="Q18" s="4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7.25" thickBot="1">
      <c r="A19" s="198"/>
      <c r="B19" s="199"/>
      <c r="C19" s="200" t="s">
        <v>4</v>
      </c>
      <c r="D19" s="201"/>
      <c r="E19" s="199"/>
      <c r="F19" s="201"/>
      <c r="G19" s="202"/>
      <c r="H19" s="26"/>
      <c r="I19" s="26"/>
      <c r="J19" s="26"/>
      <c r="K19" s="26"/>
      <c r="L19" s="26"/>
      <c r="M19" s="26"/>
      <c r="N19" s="26"/>
      <c r="O19" s="4"/>
      <c r="P19" s="4"/>
      <c r="Q19" s="4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17.25" hidden="1" thickBot="1">
      <c r="A20" s="37"/>
      <c r="B20" s="14"/>
      <c r="C20" s="14"/>
      <c r="D20" s="14"/>
      <c r="E20" s="14"/>
      <c r="F20" s="14"/>
      <c r="G20" s="33"/>
      <c r="H20" s="26"/>
      <c r="I20" s="26"/>
      <c r="J20" s="26"/>
      <c r="K20" s="26"/>
      <c r="L20" s="26"/>
      <c r="M20" s="26"/>
      <c r="N20" s="26"/>
      <c r="O20" s="4"/>
      <c r="P20" s="4"/>
      <c r="Q20" s="4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16.5">
      <c r="A21" s="27"/>
      <c r="B21" s="14"/>
      <c r="C21" s="14"/>
      <c r="D21" s="14"/>
      <c r="E21" s="41" t="s">
        <v>3</v>
      </c>
      <c r="F21" s="42"/>
      <c r="G21" s="43" t="s">
        <v>0</v>
      </c>
      <c r="H21" s="26"/>
      <c r="I21" s="175" t="s">
        <v>51</v>
      </c>
      <c r="J21" s="176"/>
      <c r="K21" s="176"/>
      <c r="L21" s="176"/>
      <c r="M21" s="176"/>
      <c r="N21" s="176"/>
      <c r="O21" s="177"/>
      <c r="P21" s="4"/>
      <c r="Q21" s="4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15" customHeight="1" hidden="1">
      <c r="A22" s="27"/>
      <c r="B22" s="14"/>
      <c r="C22" s="14"/>
      <c r="D22" s="14"/>
      <c r="E22" s="44" t="b">
        <f>IF(4881,F15&lt;4881)</f>
        <v>0</v>
      </c>
      <c r="F22" s="42"/>
      <c r="G22" s="45"/>
      <c r="H22" s="26"/>
      <c r="I22" s="178"/>
      <c r="J22" s="179"/>
      <c r="K22" s="179"/>
      <c r="L22" s="179"/>
      <c r="M22" s="179"/>
      <c r="N22" s="179"/>
      <c r="O22" s="180"/>
      <c r="P22" s="4"/>
      <c r="Q22" s="4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ht="16.5">
      <c r="A23" s="46"/>
      <c r="B23" s="14"/>
      <c r="C23" s="14"/>
      <c r="D23" s="101" t="s">
        <v>109</v>
      </c>
      <c r="E23" s="102">
        <f>B4</f>
        <v>8500</v>
      </c>
      <c r="F23" s="103" t="s">
        <v>21</v>
      </c>
      <c r="G23" s="104">
        <f>E23*0%</f>
        <v>0</v>
      </c>
      <c r="H23" s="26"/>
      <c r="I23" s="178" t="s">
        <v>41</v>
      </c>
      <c r="J23" s="179"/>
      <c r="K23" s="179"/>
      <c r="L23" s="179"/>
      <c r="M23" s="181">
        <f>G44</f>
        <v>2617.59355336918</v>
      </c>
      <c r="N23" s="179"/>
      <c r="O23" s="180"/>
      <c r="P23" s="4"/>
      <c r="Q23" s="4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ht="12.75" customHeight="1">
      <c r="A24" s="27"/>
      <c r="B24" s="96" t="s">
        <v>20</v>
      </c>
      <c r="C24" s="109"/>
      <c r="D24" s="105" t="s">
        <v>110</v>
      </c>
      <c r="E24" s="106">
        <f>B4+E7</f>
        <v>8500</v>
      </c>
      <c r="F24" s="107">
        <f>E7</f>
        <v>0</v>
      </c>
      <c r="G24" s="108">
        <f>E24*9.7%</f>
        <v>824.4999999999999</v>
      </c>
      <c r="H24" s="26"/>
      <c r="I24" s="178" t="s">
        <v>52</v>
      </c>
      <c r="J24" s="179"/>
      <c r="K24" s="182"/>
      <c r="L24" s="129">
        <f>B4</f>
        <v>8500</v>
      </c>
      <c r="M24" s="182"/>
      <c r="N24" s="179"/>
      <c r="O24" s="180"/>
      <c r="P24" s="4"/>
      <c r="Q24" s="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ht="18" customHeight="1">
      <c r="A25" s="27" t="s">
        <v>111</v>
      </c>
      <c r="B25" s="14"/>
      <c r="C25" s="14"/>
      <c r="D25" s="111" t="s">
        <v>23</v>
      </c>
      <c r="E25" s="97"/>
      <c r="F25" s="110"/>
      <c r="G25" s="112">
        <f>98+99</f>
        <v>197</v>
      </c>
      <c r="H25" s="26"/>
      <c r="I25" s="178"/>
      <c r="J25" s="179"/>
      <c r="K25" s="179"/>
      <c r="L25" s="179"/>
      <c r="M25" s="182"/>
      <c r="N25" s="179"/>
      <c r="O25" s="180"/>
      <c r="P25" s="4"/>
      <c r="Q25" s="4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ht="12.75" customHeight="1" hidden="1">
      <c r="A26" s="27"/>
      <c r="B26" s="14"/>
      <c r="C26" s="14"/>
      <c r="D26" s="47" t="s">
        <v>6</v>
      </c>
      <c r="E26" s="34"/>
      <c r="F26" s="48"/>
      <c r="G26" s="49">
        <v>49</v>
      </c>
      <c r="H26" s="26"/>
      <c r="I26" s="178" t="s">
        <v>52</v>
      </c>
      <c r="J26" s="179"/>
      <c r="K26" s="179"/>
      <c r="L26" s="183">
        <f>B4</f>
        <v>8500</v>
      </c>
      <c r="M26" s="182"/>
      <c r="N26" s="179"/>
      <c r="O26" s="180"/>
      <c r="P26" s="4"/>
      <c r="Q26" s="4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ht="16.5">
      <c r="A27" s="27" t="s">
        <v>112</v>
      </c>
      <c r="B27" s="14"/>
      <c r="C27" s="14"/>
      <c r="D27" s="161" t="s">
        <v>30</v>
      </c>
      <c r="E27" s="159"/>
      <c r="F27" s="162"/>
      <c r="G27" s="163">
        <f>+G23+G24+G25</f>
        <v>1021.4999999999999</v>
      </c>
      <c r="H27" s="26"/>
      <c r="I27" s="178" t="s">
        <v>56</v>
      </c>
      <c r="J27" s="179"/>
      <c r="K27" s="179"/>
      <c r="L27" s="179"/>
      <c r="M27" s="181">
        <f>G50</f>
        <v>3774</v>
      </c>
      <c r="N27" s="182"/>
      <c r="O27" s="180"/>
      <c r="P27" s="4"/>
      <c r="Q27" s="4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ht="17.25" thickBot="1">
      <c r="A28" s="198"/>
      <c r="B28" s="199"/>
      <c r="C28" s="200" t="s">
        <v>24</v>
      </c>
      <c r="D28" s="201"/>
      <c r="E28" s="199"/>
      <c r="F28" s="201"/>
      <c r="G28" s="202"/>
      <c r="H28" s="26"/>
      <c r="I28" s="184" t="s">
        <v>52</v>
      </c>
      <c r="J28" s="185"/>
      <c r="K28" s="186"/>
      <c r="L28" s="166">
        <f>E51</f>
        <v>11220</v>
      </c>
      <c r="M28" s="185"/>
      <c r="N28" s="185"/>
      <c r="O28" s="187"/>
      <c r="P28" s="4"/>
      <c r="Q28" s="4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6.5" hidden="1">
      <c r="A29" s="37"/>
      <c r="B29" s="50"/>
      <c r="C29" s="50"/>
      <c r="D29" s="50"/>
      <c r="E29" s="50"/>
      <c r="F29" s="50"/>
      <c r="G29" s="51"/>
      <c r="H29" s="26"/>
      <c r="I29" s="26"/>
      <c r="J29" s="26"/>
      <c r="K29" s="26"/>
      <c r="L29" s="26"/>
      <c r="M29" s="26"/>
      <c r="N29" s="26"/>
      <c r="O29" s="4"/>
      <c r="P29" s="4"/>
      <c r="Q29" s="4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ht="17.25" thickBot="1">
      <c r="A30" s="27"/>
      <c r="B30" s="14"/>
      <c r="C30" s="14"/>
      <c r="D30" s="14"/>
      <c r="E30" s="41" t="s">
        <v>25</v>
      </c>
      <c r="F30" s="114" t="s">
        <v>47</v>
      </c>
      <c r="G30" s="43" t="s">
        <v>0</v>
      </c>
      <c r="H30" s="26"/>
      <c r="J30" s="26"/>
      <c r="K30" s="26"/>
      <c r="L30" s="26"/>
      <c r="M30" s="26"/>
      <c r="N30" s="26"/>
      <c r="O30" s="4"/>
      <c r="P30" s="4"/>
      <c r="Q30" s="4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ht="16.5">
      <c r="A31" s="115" t="s">
        <v>79</v>
      </c>
      <c r="B31" s="113"/>
      <c r="C31" s="116"/>
      <c r="D31" s="117" t="s">
        <v>12</v>
      </c>
      <c r="E31" s="118">
        <f>F6</f>
        <v>8500</v>
      </c>
      <c r="F31" s="119">
        <v>0.101</v>
      </c>
      <c r="G31" s="120">
        <f>IF(E31&gt;4511,E31*F31,455)</f>
        <v>858.5</v>
      </c>
      <c r="H31" s="26"/>
      <c r="I31" s="175" t="s">
        <v>53</v>
      </c>
      <c r="J31" s="176"/>
      <c r="K31" s="176"/>
      <c r="L31" s="176"/>
      <c r="M31" s="176"/>
      <c r="N31" s="176"/>
      <c r="O31" s="177"/>
      <c r="P31" s="4"/>
      <c r="Q31" s="4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3" customFormat="1" ht="16.5" hidden="1">
      <c r="A32" s="27"/>
      <c r="B32" s="42"/>
      <c r="C32" s="42"/>
      <c r="D32" s="52" t="s">
        <v>13</v>
      </c>
      <c r="E32" s="14"/>
      <c r="F32" s="14"/>
      <c r="G32" s="53">
        <f>IF(E31&lt;41050,1277)+(IF((E31&gt;41050)*AND(D33=TRUE),2554))</f>
        <v>1277</v>
      </c>
      <c r="H32" s="26"/>
      <c r="I32" s="178"/>
      <c r="J32" s="179"/>
      <c r="K32" s="179"/>
      <c r="L32" s="179"/>
      <c r="M32" s="179"/>
      <c r="N32" s="179"/>
      <c r="O32" s="180"/>
      <c r="P32" s="4"/>
      <c r="Q32" s="4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3" customFormat="1" ht="16.5" hidden="1">
      <c r="A33" s="27"/>
      <c r="B33" s="42"/>
      <c r="C33" s="54"/>
      <c r="D33" s="55" t="b">
        <f>IF(E31&gt;44945,TRUE)</f>
        <v>0</v>
      </c>
      <c r="E33" s="56">
        <f>F15</f>
        <v>8500</v>
      </c>
      <c r="F33" s="57">
        <f>IF(E31&lt;5792,1,0)</f>
        <v>0</v>
      </c>
      <c r="G33" s="58"/>
      <c r="H33" s="26"/>
      <c r="I33" s="178"/>
      <c r="J33" s="179"/>
      <c r="K33" s="179"/>
      <c r="L33" s="179"/>
      <c r="M33" s="179"/>
      <c r="N33" s="179"/>
      <c r="O33" s="180"/>
      <c r="P33" s="4"/>
      <c r="Q33" s="4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3" customFormat="1" ht="16.5" hidden="1">
      <c r="A34" s="27"/>
      <c r="B34" s="42"/>
      <c r="C34" s="54"/>
      <c r="D34" s="59">
        <f>IF(11585,E31&lt;=11585)*AND(E31&gt;5792)</f>
        <v>1</v>
      </c>
      <c r="E34" s="57">
        <f>IF(17377,E31&lt;=17377)*AND(E31&gt;11585)</f>
        <v>0</v>
      </c>
      <c r="F34" s="57">
        <f>IF(23170,E31&lt;=23170)*AND(E31&gt;17377)</f>
        <v>0</v>
      </c>
      <c r="G34" s="60"/>
      <c r="H34" s="26"/>
      <c r="I34" s="178"/>
      <c r="J34" s="179"/>
      <c r="K34" s="179"/>
      <c r="L34" s="179"/>
      <c r="M34" s="179"/>
      <c r="N34" s="179"/>
      <c r="O34" s="180"/>
      <c r="P34" s="4"/>
      <c r="Q34" s="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3" customFormat="1" ht="16.5" hidden="1">
      <c r="A35" s="46" t="s">
        <v>10</v>
      </c>
      <c r="B35" s="42"/>
      <c r="C35" s="42"/>
      <c r="D35" s="52" t="s">
        <v>19</v>
      </c>
      <c r="E35" s="61"/>
      <c r="F35" s="61"/>
      <c r="G35" s="62"/>
      <c r="H35" s="26"/>
      <c r="I35" s="178"/>
      <c r="J35" s="179"/>
      <c r="K35" s="179"/>
      <c r="L35" s="179"/>
      <c r="M35" s="179"/>
      <c r="N35" s="179"/>
      <c r="O35" s="180"/>
      <c r="P35" s="4"/>
      <c r="Q35" s="4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3" customFormat="1" ht="16.5">
      <c r="A36" s="115" t="s">
        <v>42</v>
      </c>
      <c r="B36" s="116"/>
      <c r="C36" s="116"/>
      <c r="D36" s="173" t="s">
        <v>7</v>
      </c>
      <c r="E36" s="63" t="s">
        <v>68</v>
      </c>
      <c r="F36" s="64">
        <v>0.75</v>
      </c>
      <c r="G36" s="53">
        <f>IF(D34=1,G32*F36,0)</f>
        <v>957.75</v>
      </c>
      <c r="H36" s="26"/>
      <c r="I36" s="178" t="s">
        <v>54</v>
      </c>
      <c r="J36" s="179"/>
      <c r="K36" s="179"/>
      <c r="L36" s="179"/>
      <c r="M36" s="188">
        <f>G24</f>
        <v>824.4999999999999</v>
      </c>
      <c r="N36" s="179"/>
      <c r="O36" s="180"/>
      <c r="P36" s="4"/>
      <c r="Q36" s="4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16.5">
      <c r="A37" s="115" t="s">
        <v>35</v>
      </c>
      <c r="B37" s="116"/>
      <c r="C37" s="116"/>
      <c r="D37" s="173" t="s">
        <v>9</v>
      </c>
      <c r="E37" s="63" t="s">
        <v>69</v>
      </c>
      <c r="F37" s="64">
        <v>0.5</v>
      </c>
      <c r="G37" s="53">
        <f>IF(E34=1,G32*F37,0)</f>
        <v>0</v>
      </c>
      <c r="H37" s="26"/>
      <c r="I37" s="178" t="s">
        <v>55</v>
      </c>
      <c r="J37" s="179"/>
      <c r="K37" s="179"/>
      <c r="L37" s="179"/>
      <c r="M37" s="179"/>
      <c r="N37" s="179"/>
      <c r="O37" s="180"/>
      <c r="P37" s="4"/>
      <c r="Q37" s="4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6.5">
      <c r="A38" s="193" t="s">
        <v>113</v>
      </c>
      <c r="B38" s="128"/>
      <c r="C38" s="128"/>
      <c r="D38" s="173" t="s">
        <v>8</v>
      </c>
      <c r="E38" s="63" t="s">
        <v>49</v>
      </c>
      <c r="F38" s="64">
        <v>0.25</v>
      </c>
      <c r="G38" s="53">
        <f>IF(F34=1,G32*F38,0)</f>
        <v>0</v>
      </c>
      <c r="H38" s="26"/>
      <c r="I38" s="178"/>
      <c r="J38" s="179"/>
      <c r="K38" s="179"/>
      <c r="L38" s="179"/>
      <c r="M38" s="179"/>
      <c r="N38" s="179"/>
      <c r="O38" s="189"/>
      <c r="P38" s="4"/>
      <c r="Q38" s="4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7.25" thickBot="1">
      <c r="A39" s="193" t="s">
        <v>114</v>
      </c>
      <c r="B39" s="194"/>
      <c r="C39" s="139" t="s">
        <v>43</v>
      </c>
      <c r="D39" s="65" t="s">
        <v>70</v>
      </c>
      <c r="E39" s="63" t="s">
        <v>48</v>
      </c>
      <c r="F39" s="64">
        <v>1</v>
      </c>
      <c r="G39" s="53">
        <f>IF(F33=1,G32*F39,0)</f>
        <v>0</v>
      </c>
      <c r="H39" s="26"/>
      <c r="I39" s="178" t="s">
        <v>57</v>
      </c>
      <c r="J39" s="179"/>
      <c r="K39" s="179"/>
      <c r="L39" s="179"/>
      <c r="M39" s="190">
        <f>+D48*5.5%</f>
        <v>935</v>
      </c>
      <c r="N39" s="179"/>
      <c r="O39" s="189"/>
      <c r="P39" s="4"/>
      <c r="Q39" s="4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17.25" thickBot="1">
      <c r="A40" s="174" t="s">
        <v>61</v>
      </c>
      <c r="B40" s="170"/>
      <c r="C40" s="171"/>
      <c r="D40" s="172"/>
      <c r="E40" s="160" t="s">
        <v>62</v>
      </c>
      <c r="F40" s="154"/>
      <c r="G40" s="155">
        <f>(G31+G32)-(G36+G37+G38+G39)+G35+76</f>
        <v>1253.75</v>
      </c>
      <c r="H40" s="26"/>
      <c r="I40" s="178" t="s">
        <v>58</v>
      </c>
      <c r="J40" s="179"/>
      <c r="K40" s="179"/>
      <c r="L40" s="179"/>
      <c r="M40" s="179"/>
      <c r="N40" s="179"/>
      <c r="O40" s="189"/>
      <c r="P40" s="4"/>
      <c r="Q40" s="4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7.25" hidden="1" thickBot="1">
      <c r="A41" s="7"/>
      <c r="B41" s="7"/>
      <c r="C41" s="7"/>
      <c r="D41" s="67" t="s">
        <v>18</v>
      </c>
      <c r="E41" s="68"/>
      <c r="F41" s="69"/>
      <c r="G41" s="70" t="e">
        <f>((#REF!*F31)-G31)</f>
        <v>#REF!</v>
      </c>
      <c r="H41" s="26"/>
      <c r="I41" s="178"/>
      <c r="J41" s="179"/>
      <c r="K41" s="179"/>
      <c r="L41" s="179"/>
      <c r="M41" s="179"/>
      <c r="N41" s="179"/>
      <c r="O41" s="189"/>
      <c r="P41" s="4"/>
      <c r="Q41" s="4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17.25" hidden="1" thickBot="1">
      <c r="A42" s="7"/>
      <c r="B42" s="7"/>
      <c r="C42" s="7"/>
      <c r="D42" s="7"/>
      <c r="E42" s="7"/>
      <c r="F42" s="7"/>
      <c r="G42" s="7"/>
      <c r="H42" s="26"/>
      <c r="I42" s="178"/>
      <c r="J42" s="179"/>
      <c r="K42" s="179"/>
      <c r="L42" s="179"/>
      <c r="M42" s="179"/>
      <c r="N42" s="179"/>
      <c r="O42" s="189"/>
      <c r="P42" s="4"/>
      <c r="Q42" s="4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17.25" thickBot="1">
      <c r="A43" s="140"/>
      <c r="C43" s="156"/>
      <c r="D43" s="156"/>
      <c r="E43" s="156"/>
      <c r="F43" s="156"/>
      <c r="G43" s="71" t="s">
        <v>28</v>
      </c>
      <c r="H43" s="26"/>
      <c r="I43" s="184" t="s">
        <v>117</v>
      </c>
      <c r="J43" s="185"/>
      <c r="K43" s="185" t="s">
        <v>118</v>
      </c>
      <c r="L43" s="185" t="s">
        <v>119</v>
      </c>
      <c r="M43" s="185"/>
      <c r="N43" s="185"/>
      <c r="O43" s="191"/>
      <c r="P43" s="4"/>
      <c r="Q43" s="4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7.25" thickBot="1">
      <c r="A44" s="140"/>
      <c r="C44" s="157" t="s">
        <v>29</v>
      </c>
      <c r="D44" s="150"/>
      <c r="E44" s="158">
        <f>(G17+G27+G40)/D48</f>
        <v>0.15397609137465765</v>
      </c>
      <c r="F44" s="150" t="s">
        <v>60</v>
      </c>
      <c r="G44" s="72">
        <f>+G17+G27+G40</f>
        <v>2617.59355336918</v>
      </c>
      <c r="H44" s="26"/>
      <c r="P44" s="4"/>
      <c r="Q44" s="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5.75" thickBot="1">
      <c r="A45" s="7"/>
      <c r="B45" s="7"/>
      <c r="C45" s="7"/>
      <c r="D45" s="7"/>
      <c r="E45" s="7"/>
      <c r="F45" s="7"/>
      <c r="G45" s="7"/>
      <c r="H45" s="7"/>
      <c r="P45" s="4"/>
      <c r="Q45" s="4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5.75" thickBot="1">
      <c r="A46" s="73" t="s">
        <v>115</v>
      </c>
      <c r="B46" s="24"/>
      <c r="C46" s="24"/>
      <c r="D46" s="74"/>
      <c r="E46" s="24"/>
      <c r="F46" s="74"/>
      <c r="G46" s="75"/>
      <c r="H46" s="76"/>
      <c r="I46" s="7"/>
      <c r="J46" s="7"/>
      <c r="K46" s="7"/>
      <c r="L46" s="7"/>
      <c r="M46" s="7"/>
      <c r="N46" s="7"/>
      <c r="O46" s="4"/>
      <c r="P46" s="4"/>
      <c r="Q46" s="4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5.75" thickBot="1">
      <c r="A47" s="27"/>
      <c r="B47" s="14"/>
      <c r="C47" s="14"/>
      <c r="D47" s="14"/>
      <c r="E47" s="14"/>
      <c r="F47" s="14"/>
      <c r="G47" s="33"/>
      <c r="H47" s="76"/>
      <c r="I47" s="216" t="s">
        <v>36</v>
      </c>
      <c r="J47" s="77"/>
      <c r="K47" s="78"/>
      <c r="L47" s="8"/>
      <c r="M47" s="77"/>
      <c r="N47" s="79"/>
      <c r="O47" s="4"/>
      <c r="P47" s="4"/>
      <c r="Q47" s="4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5.75" thickBot="1">
      <c r="A48" s="141" t="s">
        <v>26</v>
      </c>
      <c r="B48" s="121"/>
      <c r="C48" s="121"/>
      <c r="D48" s="84">
        <v>17000</v>
      </c>
      <c r="E48" s="14"/>
      <c r="F48" s="14"/>
      <c r="G48" s="33"/>
      <c r="H48" s="22"/>
      <c r="I48" s="123" t="s">
        <v>37</v>
      </c>
      <c r="J48" s="124"/>
      <c r="K48" s="125"/>
      <c r="L48" s="126"/>
      <c r="M48" s="124"/>
      <c r="N48" s="127"/>
      <c r="O48" s="4"/>
      <c r="P48" s="4"/>
      <c r="Q48" s="4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5.75" thickBot="1">
      <c r="A49" s="27"/>
      <c r="B49" s="14"/>
      <c r="C49" s="14"/>
      <c r="D49" s="14" t="s">
        <v>32</v>
      </c>
      <c r="E49" s="14"/>
      <c r="F49" s="14"/>
      <c r="G49" s="33"/>
      <c r="H49" s="22"/>
      <c r="I49" s="80"/>
      <c r="J49" s="81"/>
      <c r="K49" s="82"/>
      <c r="L49" s="9"/>
      <c r="M49" s="81"/>
      <c r="N49" s="83"/>
      <c r="O49" s="4"/>
      <c r="P49" s="4"/>
      <c r="Q49" s="4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5.75" thickBot="1">
      <c r="A50" s="149" t="s">
        <v>105</v>
      </c>
      <c r="B50" s="150"/>
      <c r="C50" s="150"/>
      <c r="D50" s="151"/>
      <c r="E50" s="152"/>
      <c r="F50" s="153"/>
      <c r="G50" s="87">
        <f>(D48*22%)+(D48*0.2%)</f>
        <v>3774</v>
      </c>
      <c r="H50" s="22"/>
      <c r="I50" s="165" t="s">
        <v>38</v>
      </c>
      <c r="J50" s="166"/>
      <c r="K50" s="167"/>
      <c r="L50" s="168"/>
      <c r="M50" s="166"/>
      <c r="N50" s="169"/>
      <c r="O50" s="4"/>
      <c r="P50" s="4"/>
      <c r="Q50" s="4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5.75" thickBot="1">
      <c r="A51" s="85"/>
      <c r="B51" s="86"/>
      <c r="C51" s="86"/>
      <c r="D51" s="85" t="s">
        <v>59</v>
      </c>
      <c r="E51" s="88">
        <f>D48-(D48*34%)</f>
        <v>11220</v>
      </c>
      <c r="F51" s="14"/>
      <c r="G51" s="33"/>
      <c r="H51" s="22"/>
      <c r="I51" s="7"/>
      <c r="J51" s="7"/>
      <c r="K51" s="7"/>
      <c r="L51" s="7"/>
      <c r="M51" s="7"/>
      <c r="N51" s="7"/>
      <c r="O51" s="4"/>
      <c r="P51" s="4"/>
      <c r="Q51" s="4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5.75" thickBot="1">
      <c r="A52" s="89"/>
      <c r="B52" s="66"/>
      <c r="C52" s="66"/>
      <c r="D52" s="66"/>
      <c r="E52" s="66"/>
      <c r="F52" s="66"/>
      <c r="G52" s="90"/>
      <c r="H52" s="22"/>
      <c r="I52" s="7"/>
      <c r="J52" s="7"/>
      <c r="K52" s="7"/>
      <c r="L52" s="7"/>
      <c r="M52" s="7"/>
      <c r="N52" s="7"/>
      <c r="O52" s="4"/>
      <c r="P52" s="4"/>
      <c r="Q52" s="4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4"/>
      <c r="P53" s="4"/>
      <c r="Q53" s="4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"/>
      <c r="P54" s="4"/>
      <c r="Q54" s="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5" hidden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5.75" hidden="1" thickBot="1">
      <c r="A56" s="7"/>
      <c r="B56" s="7"/>
      <c r="C56" s="7"/>
      <c r="D56" s="7"/>
      <c r="E56" s="7"/>
      <c r="F56" s="7"/>
      <c r="G56" s="7"/>
      <c r="H56" s="7"/>
      <c r="I56" s="15"/>
      <c r="J56" s="16"/>
      <c r="K56" s="16"/>
      <c r="L56" s="16"/>
      <c r="M56" s="16"/>
      <c r="N56" s="17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5">
      <c r="A57" s="7"/>
      <c r="B57" s="22"/>
      <c r="C57" s="22"/>
      <c r="D57" s="22"/>
      <c r="E57" s="22"/>
      <c r="F57" s="22"/>
      <c r="G57" s="22"/>
      <c r="H57" s="7"/>
      <c r="I57" s="7"/>
      <c r="J57" s="7"/>
      <c r="K57" s="7"/>
      <c r="L57" s="7"/>
      <c r="M57" s="7"/>
      <c r="N57" s="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5">
      <c r="A58" s="7"/>
      <c r="B58" s="22"/>
      <c r="C58" s="22"/>
      <c r="D58" s="22"/>
      <c r="E58" s="22"/>
      <c r="F58" s="22"/>
      <c r="G58" s="22"/>
      <c r="H58" s="7"/>
      <c r="I58" s="7"/>
      <c r="J58" s="7"/>
      <c r="K58" s="7"/>
      <c r="L58" s="7"/>
      <c r="M58" s="7"/>
      <c r="N58" s="7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6.5">
      <c r="A59" s="7"/>
      <c r="B59" s="22"/>
      <c r="C59" s="22"/>
      <c r="D59" s="22"/>
      <c r="E59" s="22"/>
      <c r="F59" s="22"/>
      <c r="G59" s="22"/>
      <c r="H59" s="7"/>
      <c r="I59" s="7"/>
      <c r="J59" s="7"/>
      <c r="K59" s="7"/>
      <c r="L59" s="7"/>
      <c r="M59" s="7"/>
      <c r="N59" s="26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6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2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14" ht="16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26"/>
    </row>
    <row r="62" spans="1:14" ht="16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6"/>
    </row>
    <row r="63" spans="1:14" ht="16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26"/>
    </row>
    <row r="64" spans="1:14" ht="16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26"/>
    </row>
    <row r="65" spans="1:14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9:14" ht="14.25">
      <c r="I67" s="7"/>
      <c r="J67" s="7"/>
      <c r="K67" s="7"/>
      <c r="L67" s="7"/>
      <c r="M67" s="7"/>
      <c r="N67" s="7"/>
    </row>
  </sheetData>
  <sheetProtection/>
  <printOptions/>
  <pageMargins left="0.49" right="0.32" top="0.26" bottom="0.4330708661417323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5"/>
  <dimension ref="A1:AI68"/>
  <sheetViews>
    <sheetView showGridLines="0" showRowColHeaders="0" zoomScalePageLayoutView="0" workbookViewId="0" topLeftCell="A1">
      <selection activeCell="A37" sqref="A37"/>
    </sheetView>
  </sheetViews>
  <sheetFormatPr defaultColWidth="11.00390625" defaultRowHeight="14.25"/>
  <cols>
    <col min="1" max="1" width="11.00390625" style="2" customWidth="1"/>
    <col min="2" max="2" width="12.00390625" style="2" bestFit="1" customWidth="1"/>
    <col min="3" max="3" width="11.00390625" style="2" customWidth="1"/>
    <col min="4" max="4" width="12.00390625" style="2" bestFit="1" customWidth="1"/>
    <col min="5" max="5" width="12.625" style="2" bestFit="1" customWidth="1"/>
    <col min="6" max="6" width="8.75390625" style="2" customWidth="1"/>
    <col min="7" max="7" width="13.875" style="2" customWidth="1"/>
    <col min="8" max="8" width="11.00390625" style="2" customWidth="1"/>
    <col min="9" max="9" width="7.50390625" style="2" customWidth="1"/>
    <col min="10" max="16384" width="11.00390625" style="2" customWidth="1"/>
  </cols>
  <sheetData>
    <row r="1" spans="2:18" s="1" customFormat="1" ht="15">
      <c r="B1" s="224" t="s">
        <v>71</v>
      </c>
      <c r="C1" s="225"/>
      <c r="D1" s="225"/>
      <c r="E1" s="225"/>
      <c r="F1" s="226"/>
      <c r="G1" s="227"/>
      <c r="H1" s="7"/>
      <c r="I1" s="142" t="s">
        <v>66</v>
      </c>
      <c r="J1" s="143"/>
      <c r="K1" s="143"/>
      <c r="L1" s="143"/>
      <c r="M1" s="143"/>
      <c r="N1" s="143"/>
      <c r="O1" s="144"/>
      <c r="P1" s="2"/>
      <c r="Q1" s="2"/>
      <c r="R1" s="2"/>
    </row>
    <row r="2" spans="2:18" s="1" customFormat="1" ht="15.75" thickBot="1">
      <c r="B2" s="228" t="s">
        <v>64</v>
      </c>
      <c r="C2" s="229"/>
      <c r="D2" s="229"/>
      <c r="E2" s="230"/>
      <c r="F2" s="231"/>
      <c r="G2" s="232"/>
      <c r="H2" s="7"/>
      <c r="I2" s="145" t="s">
        <v>65</v>
      </c>
      <c r="J2" s="130"/>
      <c r="K2" s="130"/>
      <c r="L2" s="130"/>
      <c r="M2" s="130"/>
      <c r="N2" s="130"/>
      <c r="O2" s="192"/>
      <c r="P2" s="2"/>
      <c r="Q2" s="2"/>
      <c r="R2" s="2"/>
    </row>
    <row r="3" spans="1:15" ht="15" thickBot="1">
      <c r="A3" s="10"/>
      <c r="B3" s="11"/>
      <c r="C3" s="12"/>
      <c r="D3" s="11"/>
      <c r="E3" s="13"/>
      <c r="F3" s="14"/>
      <c r="G3" s="7"/>
      <c r="H3" s="7"/>
      <c r="I3" s="23" t="s">
        <v>45</v>
      </c>
      <c r="J3" s="24"/>
      <c r="K3" s="24"/>
      <c r="L3" s="24"/>
      <c r="M3" s="24"/>
      <c r="N3" s="24"/>
      <c r="O3" s="25"/>
    </row>
    <row r="4" spans="1:15" ht="15" thickBot="1">
      <c r="A4" s="122" t="s">
        <v>1</v>
      </c>
      <c r="B4" s="18">
        <f>+D49/2</f>
        <v>8500</v>
      </c>
      <c r="C4" s="7"/>
      <c r="D4" s="50"/>
      <c r="E4" s="211" t="s">
        <v>11</v>
      </c>
      <c r="F4" s="19">
        <v>0</v>
      </c>
      <c r="G4" s="7"/>
      <c r="H4" s="7"/>
      <c r="I4" s="23" t="s">
        <v>39</v>
      </c>
      <c r="J4" s="24"/>
      <c r="K4" s="24"/>
      <c r="L4" s="24"/>
      <c r="M4" s="24"/>
      <c r="N4" s="24"/>
      <c r="O4" s="25"/>
    </row>
    <row r="5" spans="1:14" ht="15" thickBot="1">
      <c r="A5" s="20" t="s">
        <v>33</v>
      </c>
      <c r="B5" s="21"/>
      <c r="C5" s="22"/>
      <c r="D5" s="50"/>
      <c r="E5" s="212" t="s">
        <v>27</v>
      </c>
      <c r="F5" s="91"/>
      <c r="G5" s="7"/>
      <c r="H5" s="7"/>
      <c r="I5" s="7"/>
      <c r="J5" s="7"/>
      <c r="K5" s="7"/>
      <c r="L5" s="7"/>
      <c r="M5" s="7"/>
      <c r="N5" s="7"/>
    </row>
    <row r="6" spans="1:33" ht="15.75" thickBot="1">
      <c r="A6" s="7"/>
      <c r="C6" s="7"/>
      <c r="D6" s="93" t="s">
        <v>2</v>
      </c>
      <c r="E6" s="94"/>
      <c r="F6" s="95">
        <f>B4+F4+F7</f>
        <v>8500</v>
      </c>
      <c r="G6" s="7"/>
      <c r="H6" s="7"/>
      <c r="I6" s="146" t="s">
        <v>40</v>
      </c>
      <c r="J6" s="147"/>
      <c r="K6" s="147"/>
      <c r="L6" s="147"/>
      <c r="M6" s="147"/>
      <c r="N6" s="148"/>
      <c r="O6" s="4"/>
      <c r="P6" s="4"/>
      <c r="Q6" s="4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3:33" ht="17.25" thickBot="1">
      <c r="C7" s="213" t="s">
        <v>46</v>
      </c>
      <c r="D7" s="214"/>
      <c r="E7" s="215"/>
      <c r="F7" s="92">
        <v>0</v>
      </c>
      <c r="G7" s="7"/>
      <c r="H7" s="26"/>
      <c r="I7" s="7"/>
      <c r="J7" s="7"/>
      <c r="K7" s="7"/>
      <c r="L7" s="7"/>
      <c r="M7" s="7"/>
      <c r="N7" s="7"/>
      <c r="O7" s="4"/>
      <c r="P7" s="5"/>
      <c r="Q7" s="4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7.25" hidden="1" thickBot="1">
      <c r="A8" s="7"/>
      <c r="B8" s="7"/>
      <c r="C8" s="7"/>
      <c r="D8" s="7"/>
      <c r="E8" s="7"/>
      <c r="F8" s="7"/>
      <c r="G8" s="7"/>
      <c r="H8" s="26"/>
      <c r="I8" s="26"/>
      <c r="J8" s="26"/>
      <c r="K8" s="26"/>
      <c r="L8" s="26"/>
      <c r="M8" s="26"/>
      <c r="N8" s="26"/>
      <c r="O8" s="4"/>
      <c r="P8" s="4"/>
      <c r="Q8" s="4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7.25" hidden="1" thickBot="1">
      <c r="A9" s="7"/>
      <c r="B9" s="7"/>
      <c r="C9" s="7"/>
      <c r="D9" s="7"/>
      <c r="E9" s="7"/>
      <c r="F9" s="7"/>
      <c r="G9" s="7"/>
      <c r="H9" s="26"/>
      <c r="I9" s="26"/>
      <c r="J9" s="26"/>
      <c r="K9" s="26"/>
      <c r="L9" s="26"/>
      <c r="M9" s="26"/>
      <c r="N9" s="26"/>
      <c r="O9" s="4"/>
      <c r="P9" s="4"/>
      <c r="Q9" s="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6.5">
      <c r="A10" s="233"/>
      <c r="B10" s="234" t="s">
        <v>72</v>
      </c>
      <c r="C10" s="234"/>
      <c r="D10" s="234"/>
      <c r="E10" s="234"/>
      <c r="F10" s="234"/>
      <c r="G10" s="235"/>
      <c r="H10" s="26"/>
      <c r="I10" s="26"/>
      <c r="J10" s="26"/>
      <c r="K10" s="26"/>
      <c r="L10" s="26"/>
      <c r="M10" s="26"/>
      <c r="N10" s="26"/>
      <c r="O10" s="6"/>
      <c r="P10" s="4"/>
      <c r="Q10" s="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6.5">
      <c r="A11" s="27"/>
      <c r="B11" s="14"/>
      <c r="C11" s="14"/>
      <c r="D11" s="14"/>
      <c r="E11" s="28" t="s">
        <v>15</v>
      </c>
      <c r="F11" s="29" t="s">
        <v>16</v>
      </c>
      <c r="G11" s="30" t="s">
        <v>0</v>
      </c>
      <c r="H11" s="26"/>
      <c r="I11" s="26"/>
      <c r="J11" s="26"/>
      <c r="K11" s="26"/>
      <c r="L11" s="26"/>
      <c r="M11" s="26"/>
      <c r="N11" s="26"/>
      <c r="O11" s="4"/>
      <c r="P11" s="4"/>
      <c r="Q11" s="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6.5" hidden="1">
      <c r="A12" s="27"/>
      <c r="B12" s="14"/>
      <c r="C12" s="14"/>
      <c r="D12" s="14"/>
      <c r="E12" s="31" t="b">
        <f>IF(11885,F13&lt;11885)</f>
        <v>1</v>
      </c>
      <c r="F12" s="31" t="s">
        <v>14</v>
      </c>
      <c r="G12" s="32"/>
      <c r="H12" s="26"/>
      <c r="I12" s="26"/>
      <c r="J12" s="26"/>
      <c r="K12" s="26"/>
      <c r="L12" s="26"/>
      <c r="M12" s="26"/>
      <c r="N12" s="26"/>
      <c r="O12" s="4"/>
      <c r="P12" s="4"/>
      <c r="Q12" s="4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0" customHeight="1" hidden="1">
      <c r="A13" s="27"/>
      <c r="B13" s="14"/>
      <c r="C13" s="14"/>
      <c r="D13" s="14"/>
      <c r="E13" s="14"/>
      <c r="F13" s="14"/>
      <c r="G13" s="33"/>
      <c r="H13" s="26"/>
      <c r="I13" s="26"/>
      <c r="J13" s="26"/>
      <c r="K13" s="26"/>
      <c r="L13" s="26"/>
      <c r="M13" s="26"/>
      <c r="N13" s="26"/>
      <c r="O13" s="4"/>
      <c r="P13" s="4"/>
      <c r="Q13" s="4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6.5" hidden="1">
      <c r="A14" s="27"/>
      <c r="B14" s="14"/>
      <c r="C14" s="14"/>
      <c r="D14" s="14"/>
      <c r="E14" s="14" t="b">
        <f>IF(3804,F15&lt;3804)</f>
        <v>0</v>
      </c>
      <c r="F14" s="14" t="s">
        <v>17</v>
      </c>
      <c r="G14" s="33"/>
      <c r="H14" s="26"/>
      <c r="I14" s="26"/>
      <c r="J14" s="26"/>
      <c r="K14" s="26"/>
      <c r="L14" s="26"/>
      <c r="M14" s="26"/>
      <c r="N14" s="26"/>
      <c r="O14" s="4"/>
      <c r="P14" s="4"/>
      <c r="Q14" s="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3" customFormat="1" ht="12" customHeight="1">
      <c r="A15" s="27"/>
      <c r="B15" s="96" t="s">
        <v>20</v>
      </c>
      <c r="C15" s="97"/>
      <c r="D15" s="97"/>
      <c r="E15" s="98">
        <f>B4</f>
        <v>8500</v>
      </c>
      <c r="F15" s="99">
        <f>F6</f>
        <v>8500</v>
      </c>
      <c r="G15" s="100">
        <f>B4*((6.5%-1.5%)*(1-(B4/43705)))</f>
        <v>342.3435533691798</v>
      </c>
      <c r="H15" s="139" t="s">
        <v>43</v>
      </c>
      <c r="I15" s="131" t="s">
        <v>50</v>
      </c>
      <c r="J15" s="132"/>
      <c r="K15" s="132"/>
      <c r="L15" s="132"/>
      <c r="M15" s="132"/>
      <c r="N15" s="132"/>
      <c r="O15" s="133"/>
      <c r="P15" s="4"/>
      <c r="Q15" s="4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6.5" hidden="1">
      <c r="A16" s="27"/>
      <c r="B16" s="14"/>
      <c r="C16" s="14"/>
      <c r="D16" s="14"/>
      <c r="E16" s="14"/>
      <c r="F16" s="14"/>
      <c r="G16" s="33"/>
      <c r="H16" s="26"/>
      <c r="I16" s="134"/>
      <c r="J16" s="128"/>
      <c r="K16" s="128"/>
      <c r="L16" s="128"/>
      <c r="M16" s="128"/>
      <c r="N16" s="128"/>
      <c r="O16" s="135"/>
      <c r="P16" s="4"/>
      <c r="Q16" s="4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6.5">
      <c r="A17" s="27"/>
      <c r="B17" s="217" t="s">
        <v>74</v>
      </c>
      <c r="C17" s="218"/>
      <c r="D17" s="218"/>
      <c r="E17" s="219">
        <f>E15</f>
        <v>8500</v>
      </c>
      <c r="F17" s="222">
        <v>0.007</v>
      </c>
      <c r="G17" s="220">
        <f>IF(A18=0,E17*F17,110)</f>
        <v>110</v>
      </c>
      <c r="H17" s="26"/>
      <c r="I17" s="134"/>
      <c r="J17" s="128"/>
      <c r="K17" s="128"/>
      <c r="L17" s="128"/>
      <c r="M17" s="128"/>
      <c r="N17" s="128"/>
      <c r="O17" s="135"/>
      <c r="P17" s="4"/>
      <c r="Q17" s="4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6.5">
      <c r="A18" s="223">
        <f>IF(15691,F15&lt;=15691)*AND(E32&gt;0)</f>
        <v>1</v>
      </c>
      <c r="B18" s="14"/>
      <c r="C18" s="36"/>
      <c r="D18" s="236" t="s">
        <v>31</v>
      </c>
      <c r="E18" s="237"/>
      <c r="F18" s="238"/>
      <c r="G18" s="239">
        <f>+G15+G17</f>
        <v>452.3435533691798</v>
      </c>
      <c r="H18" s="26"/>
      <c r="I18" s="136" t="s">
        <v>67</v>
      </c>
      <c r="J18" s="137"/>
      <c r="K18" s="137"/>
      <c r="L18" s="137" t="s">
        <v>73</v>
      </c>
      <c r="M18" s="137"/>
      <c r="N18" s="137"/>
      <c r="O18" s="138"/>
      <c r="P18" s="4"/>
      <c r="Q18" s="4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2" customHeight="1" hidden="1">
      <c r="A19" s="37"/>
      <c r="B19" s="38"/>
      <c r="C19" s="38"/>
      <c r="D19" s="14"/>
      <c r="E19" s="39"/>
      <c r="F19" s="38"/>
      <c r="G19" s="40"/>
      <c r="H19" s="26"/>
      <c r="I19" s="26"/>
      <c r="J19" s="26"/>
      <c r="K19" s="26"/>
      <c r="L19" s="26"/>
      <c r="M19" s="26"/>
      <c r="N19" s="26"/>
      <c r="O19" s="4"/>
      <c r="P19" s="4"/>
      <c r="Q19" s="4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17.25" thickBot="1">
      <c r="A20" s="240"/>
      <c r="B20" s="237"/>
      <c r="C20" s="238" t="s">
        <v>75</v>
      </c>
      <c r="D20" s="241"/>
      <c r="E20" s="237"/>
      <c r="F20" s="241"/>
      <c r="G20" s="242"/>
      <c r="H20" s="26"/>
      <c r="I20" s="26"/>
      <c r="J20" s="26"/>
      <c r="K20" s="26"/>
      <c r="L20" s="26"/>
      <c r="M20" s="26"/>
      <c r="N20" s="26"/>
      <c r="O20" s="4"/>
      <c r="P20" s="4" t="s">
        <v>81</v>
      </c>
      <c r="Q20" s="4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17.25" hidden="1" thickBot="1">
      <c r="A21" s="37"/>
      <c r="B21" s="14"/>
      <c r="C21" s="14"/>
      <c r="D21" s="14"/>
      <c r="E21" s="14"/>
      <c r="F21" s="14"/>
      <c r="G21" s="33"/>
      <c r="H21" s="26"/>
      <c r="I21" s="26"/>
      <c r="J21" s="26"/>
      <c r="K21" s="26"/>
      <c r="L21" s="26"/>
      <c r="M21" s="26"/>
      <c r="N21" s="26"/>
      <c r="O21" s="4"/>
      <c r="P21" s="4"/>
      <c r="Q21" s="4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16.5">
      <c r="A22" s="27"/>
      <c r="B22" s="14"/>
      <c r="C22" s="14"/>
      <c r="D22" s="14"/>
      <c r="E22" s="41" t="s">
        <v>3</v>
      </c>
      <c r="F22" s="42"/>
      <c r="G22" s="43" t="s">
        <v>0</v>
      </c>
      <c r="H22" s="26"/>
      <c r="I22" s="175" t="s">
        <v>51</v>
      </c>
      <c r="J22" s="176"/>
      <c r="K22" s="176"/>
      <c r="L22" s="176"/>
      <c r="M22" s="176"/>
      <c r="N22" s="176"/>
      <c r="O22" s="177"/>
      <c r="P22" s="175" t="s">
        <v>51</v>
      </c>
      <c r="Q22" s="176"/>
      <c r="R22" s="176"/>
      <c r="S22" s="176"/>
      <c r="T22" s="176"/>
      <c r="U22" s="176"/>
      <c r="V22" s="177"/>
      <c r="W22"/>
      <c r="X22"/>
      <c r="Y22"/>
      <c r="Z22"/>
      <c r="AA22"/>
      <c r="AB22"/>
      <c r="AC22"/>
      <c r="AD22"/>
      <c r="AE22"/>
      <c r="AF22"/>
      <c r="AG22"/>
    </row>
    <row r="23" spans="1:33" ht="15" customHeight="1" hidden="1">
      <c r="A23" s="27"/>
      <c r="B23" s="14"/>
      <c r="C23" s="14"/>
      <c r="D23" s="14"/>
      <c r="E23" s="44" t="b">
        <f>IF(4881,F15&lt;4881)</f>
        <v>0</v>
      </c>
      <c r="F23" s="42"/>
      <c r="G23" s="45"/>
      <c r="H23" s="26"/>
      <c r="I23" s="178"/>
      <c r="J23" s="179"/>
      <c r="K23" s="179"/>
      <c r="L23" s="179"/>
      <c r="M23" s="179"/>
      <c r="N23" s="179"/>
      <c r="O23" s="180"/>
      <c r="P23" s="178"/>
      <c r="Q23" s="179"/>
      <c r="R23" s="179"/>
      <c r="S23" s="179"/>
      <c r="T23" s="179"/>
      <c r="U23" s="179"/>
      <c r="V23" s="180"/>
      <c r="W23"/>
      <c r="X23"/>
      <c r="Y23"/>
      <c r="Z23"/>
      <c r="AA23"/>
      <c r="AB23"/>
      <c r="AC23"/>
      <c r="AD23"/>
      <c r="AE23"/>
      <c r="AF23"/>
      <c r="AG23"/>
    </row>
    <row r="24" spans="1:33" ht="16.5">
      <c r="A24" s="46"/>
      <c r="B24" s="14"/>
      <c r="C24" s="14"/>
      <c r="D24" s="101" t="str">
        <f>'PROF LIBERALE'!D23</f>
        <v>Alloc Fam 0%</v>
      </c>
      <c r="E24" s="102">
        <f>B4</f>
        <v>8500</v>
      </c>
      <c r="F24" s="103" t="s">
        <v>21</v>
      </c>
      <c r="G24" s="104">
        <f>E24*0%</f>
        <v>0</v>
      </c>
      <c r="H24" s="26"/>
      <c r="I24" s="178" t="s">
        <v>41</v>
      </c>
      <c r="J24" s="179"/>
      <c r="K24" s="179"/>
      <c r="L24" s="179"/>
      <c r="M24" s="181">
        <f>G45</f>
        <v>3480.1635533691797</v>
      </c>
      <c r="N24" s="179"/>
      <c r="O24" s="180"/>
      <c r="P24" s="178" t="s">
        <v>41</v>
      </c>
      <c r="Q24" s="179"/>
      <c r="R24" s="179"/>
      <c r="S24" s="179"/>
      <c r="T24" s="181">
        <f>+'PROF LIBERALE'!M23</f>
        <v>2617.59355336918</v>
      </c>
      <c r="U24" s="179"/>
      <c r="V24" s="180"/>
      <c r="W24"/>
      <c r="X24"/>
      <c r="Y24"/>
      <c r="Z24"/>
      <c r="AA24"/>
      <c r="AB24"/>
      <c r="AC24"/>
      <c r="AD24"/>
      <c r="AE24"/>
      <c r="AF24"/>
      <c r="AG24"/>
    </row>
    <row r="25" spans="1:33" ht="12.75" customHeight="1">
      <c r="A25" s="27"/>
      <c r="B25" s="96" t="s">
        <v>20</v>
      </c>
      <c r="C25" s="109"/>
      <c r="D25" s="105" t="str">
        <f>'PROF LIBERALE'!D24</f>
        <v>CSG RDS 9,70%</v>
      </c>
      <c r="E25" s="106">
        <f>B4+E7</f>
        <v>8500</v>
      </c>
      <c r="F25" s="107">
        <f>E7</f>
        <v>0</v>
      </c>
      <c r="G25" s="108">
        <f>E25*9.7%</f>
        <v>824.4999999999999</v>
      </c>
      <c r="H25" s="26"/>
      <c r="I25" s="178" t="s">
        <v>52</v>
      </c>
      <c r="J25" s="179"/>
      <c r="K25" s="182"/>
      <c r="L25" s="129">
        <f>B4</f>
        <v>8500</v>
      </c>
      <c r="M25" s="182"/>
      <c r="N25" s="179"/>
      <c r="O25" s="180"/>
      <c r="P25" s="178" t="s">
        <v>52</v>
      </c>
      <c r="Q25" s="179"/>
      <c r="R25" s="182"/>
      <c r="S25" s="129">
        <f>+'PROF LIBERALE'!L24</f>
        <v>8500</v>
      </c>
      <c r="T25" s="182"/>
      <c r="U25" s="179"/>
      <c r="V25" s="180"/>
      <c r="W25"/>
      <c r="X25"/>
      <c r="Y25"/>
      <c r="Z25"/>
      <c r="AA25"/>
      <c r="AB25"/>
      <c r="AC25"/>
      <c r="AD25"/>
      <c r="AE25"/>
      <c r="AF25"/>
      <c r="AG25"/>
    </row>
    <row r="26" spans="1:33" ht="18" customHeight="1">
      <c r="A26" s="27"/>
      <c r="B26" s="14"/>
      <c r="C26" s="14"/>
      <c r="D26" s="111" t="s">
        <v>23</v>
      </c>
      <c r="E26" s="97"/>
      <c r="F26" s="110"/>
      <c r="G26" s="112">
        <f>39228*0.25%</f>
        <v>98.07000000000001</v>
      </c>
      <c r="H26" s="26"/>
      <c r="I26" s="178"/>
      <c r="J26" s="179"/>
      <c r="K26" s="179"/>
      <c r="L26" s="179"/>
      <c r="M26" s="182"/>
      <c r="N26" s="179"/>
      <c r="O26" s="180"/>
      <c r="P26" s="178"/>
      <c r="Q26" s="179"/>
      <c r="R26" s="179"/>
      <c r="S26" s="179"/>
      <c r="T26" s="182"/>
      <c r="U26" s="179"/>
      <c r="V26" s="180"/>
      <c r="W26"/>
      <c r="X26"/>
      <c r="Y26"/>
      <c r="Z26"/>
      <c r="AA26"/>
      <c r="AB26"/>
      <c r="AC26"/>
      <c r="AD26"/>
      <c r="AE26"/>
      <c r="AF26"/>
      <c r="AG26"/>
    </row>
    <row r="27" spans="1:33" ht="12.75" customHeight="1" hidden="1">
      <c r="A27" s="27"/>
      <c r="B27" s="14"/>
      <c r="C27" s="14"/>
      <c r="D27" s="47" t="s">
        <v>6</v>
      </c>
      <c r="E27" s="34"/>
      <c r="F27" s="48"/>
      <c r="G27" s="49">
        <v>49</v>
      </c>
      <c r="H27" s="26"/>
      <c r="I27" s="178" t="s">
        <v>52</v>
      </c>
      <c r="J27" s="179"/>
      <c r="K27" s="179"/>
      <c r="L27" s="183">
        <f>B4</f>
        <v>8500</v>
      </c>
      <c r="M27" s="182"/>
      <c r="N27" s="179"/>
      <c r="O27" s="180"/>
      <c r="P27" s="178" t="s">
        <v>52</v>
      </c>
      <c r="Q27" s="179"/>
      <c r="R27" s="179"/>
      <c r="S27" s="183">
        <f>I5</f>
        <v>0</v>
      </c>
      <c r="T27" s="182"/>
      <c r="U27" s="179"/>
      <c r="V27" s="180"/>
      <c r="W27"/>
      <c r="X27"/>
      <c r="Y27"/>
      <c r="Z27"/>
      <c r="AA27"/>
      <c r="AB27"/>
      <c r="AC27"/>
      <c r="AD27"/>
      <c r="AE27"/>
      <c r="AF27"/>
      <c r="AG27"/>
    </row>
    <row r="28" spans="1:33" ht="16.5">
      <c r="A28" s="27"/>
      <c r="B28" s="14"/>
      <c r="C28" s="14"/>
      <c r="D28" s="243" t="s">
        <v>30</v>
      </c>
      <c r="E28" s="244"/>
      <c r="F28" s="245"/>
      <c r="G28" s="246">
        <f>+G24+G25+G26</f>
        <v>922.5699999999999</v>
      </c>
      <c r="H28" s="26"/>
      <c r="I28" s="178" t="s">
        <v>56</v>
      </c>
      <c r="J28" s="179"/>
      <c r="K28" s="179"/>
      <c r="L28" s="179"/>
      <c r="M28" s="181">
        <f>G51</f>
        <v>3791</v>
      </c>
      <c r="N28" s="182"/>
      <c r="O28" s="180"/>
      <c r="P28" s="178" t="s">
        <v>56</v>
      </c>
      <c r="Q28" s="179"/>
      <c r="R28" s="179"/>
      <c r="S28" s="179"/>
      <c r="T28" s="181">
        <f>+'PROF LIBERALE'!M27</f>
        <v>3774</v>
      </c>
      <c r="U28" s="182"/>
      <c r="V28" s="180"/>
      <c r="W28"/>
      <c r="X28"/>
      <c r="Y28"/>
      <c r="Z28"/>
      <c r="AA28"/>
      <c r="AB28"/>
      <c r="AC28"/>
      <c r="AD28"/>
      <c r="AE28"/>
      <c r="AF28"/>
      <c r="AG28"/>
    </row>
    <row r="29" spans="1:33" ht="17.25" thickBot="1">
      <c r="A29" s="240"/>
      <c r="B29" s="237"/>
      <c r="C29" s="238" t="s">
        <v>76</v>
      </c>
      <c r="D29" s="241"/>
      <c r="E29" s="237"/>
      <c r="F29" s="241"/>
      <c r="G29" s="242"/>
      <c r="H29" s="26"/>
      <c r="I29" s="184" t="s">
        <v>52</v>
      </c>
      <c r="J29" s="185"/>
      <c r="K29" s="186"/>
      <c r="L29" s="166">
        <f>E52</f>
        <v>8500</v>
      </c>
      <c r="M29" s="185"/>
      <c r="N29" s="185"/>
      <c r="O29" s="187"/>
      <c r="P29" s="184" t="s">
        <v>52</v>
      </c>
      <c r="Q29" s="185"/>
      <c r="R29" s="186"/>
      <c r="S29" s="166">
        <f>+'PROF LIBERALE'!L28</f>
        <v>11220</v>
      </c>
      <c r="T29" s="185"/>
      <c r="U29" s="185"/>
      <c r="V29" s="187"/>
      <c r="W29"/>
      <c r="X29"/>
      <c r="Y29"/>
      <c r="Z29"/>
      <c r="AA29"/>
      <c r="AB29"/>
      <c r="AC29"/>
      <c r="AD29"/>
      <c r="AE29"/>
      <c r="AF29"/>
      <c r="AG29"/>
    </row>
    <row r="30" spans="1:33" ht="16.5" hidden="1">
      <c r="A30" s="37"/>
      <c r="B30" s="50"/>
      <c r="C30" s="50"/>
      <c r="D30" s="50"/>
      <c r="E30" s="50"/>
      <c r="F30" s="50"/>
      <c r="G30" s="51"/>
      <c r="H30" s="26"/>
      <c r="I30" s="26"/>
      <c r="J30" s="26"/>
      <c r="K30" s="26"/>
      <c r="L30" s="26"/>
      <c r="M30" s="26"/>
      <c r="N30" s="26"/>
      <c r="O30" s="4"/>
      <c r="P30" s="26"/>
      <c r="Q30" s="26"/>
      <c r="R30" s="26"/>
      <c r="S30" s="26"/>
      <c r="T30" s="26"/>
      <c r="U30" s="26"/>
      <c r="V30" s="4"/>
      <c r="W30"/>
      <c r="X30"/>
      <c r="Y30"/>
      <c r="Z30"/>
      <c r="AA30"/>
      <c r="AB30"/>
      <c r="AC30"/>
      <c r="AD30"/>
      <c r="AE30"/>
      <c r="AF30"/>
      <c r="AG30"/>
    </row>
    <row r="31" spans="1:33" ht="17.25" thickBot="1">
      <c r="A31" s="27"/>
      <c r="B31" s="14"/>
      <c r="C31" s="14"/>
      <c r="D31" s="14"/>
      <c r="E31" s="41" t="s">
        <v>25</v>
      </c>
      <c r="F31" s="221">
        <v>0.1775</v>
      </c>
      <c r="G31" s="43" t="s">
        <v>0</v>
      </c>
      <c r="H31" s="26"/>
      <c r="J31" s="26"/>
      <c r="K31" s="26"/>
      <c r="L31" s="26"/>
      <c r="M31" s="26"/>
      <c r="N31" s="26"/>
      <c r="O31" s="4"/>
      <c r="Q31" s="26"/>
      <c r="R31" s="26"/>
      <c r="S31" s="26"/>
      <c r="T31" s="26"/>
      <c r="U31" s="26"/>
      <c r="V31" s="4"/>
      <c r="W31"/>
      <c r="X31"/>
      <c r="Y31"/>
      <c r="Z31"/>
      <c r="AA31"/>
      <c r="AB31"/>
      <c r="AC31"/>
      <c r="AD31"/>
      <c r="AE31"/>
      <c r="AF31"/>
      <c r="AG31"/>
    </row>
    <row r="32" spans="1:33" ht="16.5">
      <c r="A32" s="115" t="s">
        <v>116</v>
      </c>
      <c r="B32" s="113"/>
      <c r="C32" s="116"/>
      <c r="D32" s="117" t="s">
        <v>12</v>
      </c>
      <c r="E32" s="118">
        <f>F6</f>
        <v>8500</v>
      </c>
      <c r="F32" s="119">
        <v>0.1715</v>
      </c>
      <c r="G32" s="120">
        <f>IF(E32&gt;4441,E32*F32,801)</f>
        <v>1457.7500000000002</v>
      </c>
      <c r="H32" s="26"/>
      <c r="I32" s="175" t="s">
        <v>53</v>
      </c>
      <c r="J32" s="176"/>
      <c r="K32" s="176"/>
      <c r="L32" s="176"/>
      <c r="M32" s="176"/>
      <c r="N32" s="176"/>
      <c r="O32" s="177"/>
      <c r="P32" s="175" t="s">
        <v>53</v>
      </c>
      <c r="Q32" s="176"/>
      <c r="R32" s="176"/>
      <c r="S32" s="176"/>
      <c r="T32" s="176"/>
      <c r="U32" s="176"/>
      <c r="V32" s="177"/>
      <c r="W32"/>
      <c r="X32"/>
      <c r="Y32"/>
      <c r="Z32"/>
      <c r="AA32"/>
      <c r="AB32"/>
      <c r="AC32"/>
      <c r="AD32"/>
      <c r="AE32"/>
      <c r="AF32"/>
      <c r="AG32"/>
    </row>
    <row r="33" spans="1:33" s="3" customFormat="1" ht="16.5" hidden="1">
      <c r="A33" s="27"/>
      <c r="B33" s="42"/>
      <c r="C33" s="42"/>
      <c r="D33" s="52" t="s">
        <v>13</v>
      </c>
      <c r="E33" s="14"/>
      <c r="F33" s="14"/>
      <c r="G33" s="53">
        <f>IF(E32&lt;41050,1277)+(IF((E32&gt;41050)*AND(D34=TRUE),2554))</f>
        <v>1277</v>
      </c>
      <c r="H33" s="26"/>
      <c r="I33" s="178"/>
      <c r="J33" s="179"/>
      <c r="K33" s="179"/>
      <c r="L33" s="179"/>
      <c r="M33" s="179"/>
      <c r="N33" s="179"/>
      <c r="O33" s="180"/>
      <c r="P33" s="178"/>
      <c r="Q33" s="179"/>
      <c r="R33" s="179"/>
      <c r="S33" s="179"/>
      <c r="T33" s="179"/>
      <c r="U33" s="179"/>
      <c r="V33" s="180"/>
      <c r="W33"/>
      <c r="X33"/>
      <c r="Y33"/>
      <c r="Z33"/>
      <c r="AA33"/>
      <c r="AB33"/>
      <c r="AC33"/>
      <c r="AD33"/>
      <c r="AE33"/>
      <c r="AF33"/>
      <c r="AG33"/>
    </row>
    <row r="34" spans="1:33" s="3" customFormat="1" ht="16.5" hidden="1">
      <c r="A34" s="27"/>
      <c r="B34" s="42"/>
      <c r="C34" s="54"/>
      <c r="D34" s="55" t="b">
        <f>IF(E32&gt;44945,TRUE)</f>
        <v>0</v>
      </c>
      <c r="E34" s="56">
        <f>F15</f>
        <v>8500</v>
      </c>
      <c r="F34" s="57">
        <f>IF(E32&lt;5792,1,0)</f>
        <v>0</v>
      </c>
      <c r="G34" s="58"/>
      <c r="H34" s="26"/>
      <c r="I34" s="178"/>
      <c r="J34" s="179"/>
      <c r="K34" s="179"/>
      <c r="L34" s="179"/>
      <c r="M34" s="179"/>
      <c r="N34" s="179"/>
      <c r="O34" s="180"/>
      <c r="P34" s="178"/>
      <c r="Q34" s="179"/>
      <c r="R34" s="179"/>
      <c r="S34" s="179"/>
      <c r="T34" s="179"/>
      <c r="U34" s="179"/>
      <c r="V34" s="180"/>
      <c r="W34"/>
      <c r="X34"/>
      <c r="Y34"/>
      <c r="Z34"/>
      <c r="AA34"/>
      <c r="AB34"/>
      <c r="AC34"/>
      <c r="AD34"/>
      <c r="AE34"/>
      <c r="AF34"/>
      <c r="AG34"/>
    </row>
    <row r="35" spans="1:33" s="3" customFormat="1" ht="16.5" hidden="1">
      <c r="A35" s="27"/>
      <c r="B35" s="42"/>
      <c r="C35" s="54"/>
      <c r="D35" s="59">
        <f>IF(11585,E32&lt;=11585)*AND(E32&gt;5792)</f>
        <v>1</v>
      </c>
      <c r="E35" s="57">
        <f>IF(17377,E32&lt;=17377)*AND(E32&gt;11585)</f>
        <v>0</v>
      </c>
      <c r="F35" s="57">
        <f>IF(23170,E32&lt;=23170)*AND(E32&gt;17377)</f>
        <v>0</v>
      </c>
      <c r="G35" s="60"/>
      <c r="H35" s="26"/>
      <c r="I35" s="178"/>
      <c r="J35" s="179"/>
      <c r="K35" s="179"/>
      <c r="L35" s="179"/>
      <c r="M35" s="179"/>
      <c r="N35" s="179"/>
      <c r="O35" s="180"/>
      <c r="P35" s="178"/>
      <c r="Q35" s="179"/>
      <c r="R35" s="179"/>
      <c r="S35" s="179"/>
      <c r="T35" s="179"/>
      <c r="U35" s="179"/>
      <c r="V35" s="180"/>
      <c r="W35"/>
      <c r="X35"/>
      <c r="Y35"/>
      <c r="Z35"/>
      <c r="AA35"/>
      <c r="AB35"/>
      <c r="AC35"/>
      <c r="AD35"/>
      <c r="AE35"/>
      <c r="AF35"/>
      <c r="AG35"/>
    </row>
    <row r="36" spans="1:33" s="3" customFormat="1" ht="16.5" hidden="1">
      <c r="A36" s="46" t="s">
        <v>10</v>
      </c>
      <c r="B36" s="42"/>
      <c r="C36" s="42"/>
      <c r="D36" s="52" t="s">
        <v>19</v>
      </c>
      <c r="E36" s="61"/>
      <c r="F36" s="61"/>
      <c r="G36" s="62"/>
      <c r="H36" s="26"/>
      <c r="I36" s="178"/>
      <c r="J36" s="179"/>
      <c r="K36" s="179"/>
      <c r="L36" s="179"/>
      <c r="M36" s="179"/>
      <c r="N36" s="179"/>
      <c r="O36" s="180"/>
      <c r="P36" s="178"/>
      <c r="Q36" s="179"/>
      <c r="R36" s="179"/>
      <c r="S36" s="179"/>
      <c r="T36" s="179"/>
      <c r="U36" s="179"/>
      <c r="V36" s="180"/>
      <c r="W36"/>
      <c r="X36"/>
      <c r="Y36"/>
      <c r="Z36"/>
      <c r="AA36"/>
      <c r="AB36"/>
      <c r="AC36"/>
      <c r="AD36"/>
      <c r="AE36"/>
      <c r="AF36"/>
      <c r="AG36"/>
    </row>
    <row r="37" spans="1:33" s="3" customFormat="1" ht="16.5">
      <c r="A37" s="115" t="s">
        <v>78</v>
      </c>
      <c r="B37" s="116"/>
      <c r="C37" s="116"/>
      <c r="D37" s="300" t="s">
        <v>13</v>
      </c>
      <c r="E37" s="301">
        <f>E32</f>
        <v>8500</v>
      </c>
      <c r="F37" s="302">
        <v>0.07</v>
      </c>
      <c r="G37" s="120">
        <f>E37*F37</f>
        <v>595</v>
      </c>
      <c r="H37" s="26"/>
      <c r="I37" s="178" t="s">
        <v>54</v>
      </c>
      <c r="J37" s="179"/>
      <c r="K37" s="179"/>
      <c r="L37" s="179"/>
      <c r="M37" s="188">
        <f>G25</f>
        <v>824.4999999999999</v>
      </c>
      <c r="N37" s="179"/>
      <c r="O37" s="180"/>
      <c r="P37" s="178" t="s">
        <v>54</v>
      </c>
      <c r="Q37" s="179"/>
      <c r="R37" s="179"/>
      <c r="S37" s="179"/>
      <c r="T37" s="188">
        <f>+'PROF LIBERALE'!M36</f>
        <v>824.4999999999999</v>
      </c>
      <c r="U37" s="179"/>
      <c r="V37" s="180"/>
      <c r="W37"/>
      <c r="X37"/>
      <c r="Y37"/>
      <c r="Z37"/>
      <c r="AA37"/>
      <c r="AB37"/>
      <c r="AC37"/>
      <c r="AD37"/>
      <c r="AE37"/>
      <c r="AF37"/>
      <c r="AG37"/>
    </row>
    <row r="38" spans="1:33" ht="16.5">
      <c r="A38" s="115"/>
      <c r="B38" s="116"/>
      <c r="C38" s="116"/>
      <c r="D38" s="300" t="s">
        <v>80</v>
      </c>
      <c r="E38" s="301">
        <f>E32</f>
        <v>8500</v>
      </c>
      <c r="F38" s="303">
        <v>0.013</v>
      </c>
      <c r="G38" s="120">
        <f>IF(E38&gt;4511,E38*F38,59)</f>
        <v>110.5</v>
      </c>
      <c r="H38" s="26"/>
      <c r="I38" s="178" t="s">
        <v>55</v>
      </c>
      <c r="J38" s="179"/>
      <c r="K38" s="179"/>
      <c r="L38" s="179"/>
      <c r="M38" s="179"/>
      <c r="N38" s="179"/>
      <c r="O38" s="180"/>
      <c r="P38" s="178" t="s">
        <v>55</v>
      </c>
      <c r="Q38" s="179"/>
      <c r="R38" s="179"/>
      <c r="S38" s="179"/>
      <c r="T38" s="179"/>
      <c r="U38" s="179"/>
      <c r="V38" s="180"/>
      <c r="W38"/>
      <c r="X38"/>
      <c r="Y38"/>
      <c r="Z38"/>
      <c r="AA38"/>
      <c r="AB38"/>
      <c r="AC38"/>
      <c r="AD38"/>
      <c r="AE38"/>
      <c r="AF38"/>
      <c r="AG38"/>
    </row>
    <row r="39" spans="1:33" ht="16.5">
      <c r="A39" s="193"/>
      <c r="B39" s="128"/>
      <c r="C39" s="128"/>
      <c r="D39" s="173"/>
      <c r="E39" s="63"/>
      <c r="F39" s="64"/>
      <c r="G39" s="53">
        <f>IF(F35=1,G33*F39,0)</f>
        <v>0</v>
      </c>
      <c r="H39" s="26"/>
      <c r="I39" s="178"/>
      <c r="J39" s="179"/>
      <c r="K39" s="179"/>
      <c r="L39" s="179"/>
      <c r="M39" s="179"/>
      <c r="N39" s="179"/>
      <c r="O39" s="189"/>
      <c r="P39" s="178"/>
      <c r="Q39" s="179"/>
      <c r="R39" s="179"/>
      <c r="S39" s="179"/>
      <c r="T39" s="179"/>
      <c r="U39" s="179"/>
      <c r="V39" s="189"/>
      <c r="W39"/>
      <c r="X39"/>
      <c r="Y39"/>
      <c r="Z39"/>
      <c r="AA39"/>
      <c r="AB39"/>
      <c r="AC39"/>
      <c r="AD39"/>
      <c r="AE39"/>
      <c r="AF39"/>
      <c r="AG39"/>
    </row>
    <row r="40" spans="1:33" ht="16.5">
      <c r="A40" s="193"/>
      <c r="B40" s="194"/>
      <c r="C40" s="139"/>
      <c r="D40" s="65"/>
      <c r="E40" s="249"/>
      <c r="F40" s="64"/>
      <c r="G40" s="53">
        <f>IF(F34=1,G33*F40,0)</f>
        <v>0</v>
      </c>
      <c r="H40" s="26"/>
      <c r="I40" s="178" t="s">
        <v>57</v>
      </c>
      <c r="J40" s="179"/>
      <c r="K40" s="179"/>
      <c r="L40" s="179"/>
      <c r="M40" s="190">
        <f>D49*5.5%</f>
        <v>935</v>
      </c>
      <c r="N40" s="179"/>
      <c r="O40" s="189"/>
      <c r="P40" s="178" t="s">
        <v>57</v>
      </c>
      <c r="Q40" s="179"/>
      <c r="R40" s="179"/>
      <c r="S40" s="179"/>
      <c r="T40" s="190">
        <f>+'PROF LIBERALE'!M39</f>
        <v>935</v>
      </c>
      <c r="U40" s="179"/>
      <c r="V40" s="189"/>
      <c r="W40"/>
      <c r="X40"/>
      <c r="Y40"/>
      <c r="Z40"/>
      <c r="AA40"/>
      <c r="AB40"/>
      <c r="AC40"/>
      <c r="AD40"/>
      <c r="AE40"/>
      <c r="AF40"/>
      <c r="AG40"/>
    </row>
    <row r="41" spans="1:33" ht="17.25" thickBot="1">
      <c r="A41" s="247"/>
      <c r="B41" s="140"/>
      <c r="C41" s="50"/>
      <c r="D41" s="243" t="s">
        <v>77</v>
      </c>
      <c r="E41" s="250"/>
      <c r="F41" s="251"/>
      <c r="G41" s="248">
        <f>(G32+G33)-(G37+G38+G39+G40)+G36+76</f>
        <v>2105.25</v>
      </c>
      <c r="H41" s="26"/>
      <c r="I41" s="178" t="s">
        <v>58</v>
      </c>
      <c r="J41" s="179"/>
      <c r="K41" s="179"/>
      <c r="L41" s="179"/>
      <c r="M41" s="179"/>
      <c r="N41" s="179"/>
      <c r="O41" s="189"/>
      <c r="P41" s="178" t="s">
        <v>58</v>
      </c>
      <c r="Q41" s="179"/>
      <c r="R41" s="179"/>
      <c r="S41" s="179"/>
      <c r="T41" s="179"/>
      <c r="U41" s="179"/>
      <c r="V41" s="189"/>
      <c r="W41"/>
      <c r="X41"/>
      <c r="Y41"/>
      <c r="Z41"/>
      <c r="AA41"/>
      <c r="AB41"/>
      <c r="AC41"/>
      <c r="AD41"/>
      <c r="AE41"/>
      <c r="AF41"/>
      <c r="AG41"/>
    </row>
    <row r="42" spans="1:33" ht="17.25" hidden="1" thickBot="1">
      <c r="A42" s="7"/>
      <c r="B42" s="7"/>
      <c r="C42" s="7"/>
      <c r="D42" s="67" t="s">
        <v>18</v>
      </c>
      <c r="E42" s="68"/>
      <c r="F42" s="69"/>
      <c r="G42" s="70" t="e">
        <f>((#REF!*F32)-G32)</f>
        <v>#REF!</v>
      </c>
      <c r="H42" s="26"/>
      <c r="I42" s="178"/>
      <c r="J42" s="179"/>
      <c r="K42" s="179"/>
      <c r="L42" s="179"/>
      <c r="M42" s="179"/>
      <c r="N42" s="179"/>
      <c r="O42" s="189"/>
      <c r="P42" s="178"/>
      <c r="Q42" s="179"/>
      <c r="R42" s="179"/>
      <c r="S42" s="179"/>
      <c r="T42" s="179"/>
      <c r="U42" s="179"/>
      <c r="V42" s="189"/>
      <c r="W42"/>
      <c r="X42"/>
      <c r="Y42"/>
      <c r="Z42"/>
      <c r="AA42"/>
      <c r="AB42"/>
      <c r="AC42"/>
      <c r="AD42"/>
      <c r="AE42"/>
      <c r="AF42"/>
      <c r="AG42"/>
    </row>
    <row r="43" spans="1:33" ht="17.25" hidden="1" thickBot="1">
      <c r="A43" s="7"/>
      <c r="B43" s="7"/>
      <c r="C43" s="7"/>
      <c r="D43" s="7"/>
      <c r="E43" s="7"/>
      <c r="F43" s="7"/>
      <c r="G43" s="7"/>
      <c r="H43" s="26"/>
      <c r="I43" s="178"/>
      <c r="J43" s="179"/>
      <c r="K43" s="179"/>
      <c r="L43" s="179"/>
      <c r="M43" s="179"/>
      <c r="N43" s="179"/>
      <c r="O43" s="189"/>
      <c r="P43" s="178"/>
      <c r="Q43" s="179"/>
      <c r="R43" s="179"/>
      <c r="S43" s="179"/>
      <c r="T43" s="179"/>
      <c r="U43" s="179"/>
      <c r="V43" s="189"/>
      <c r="W43"/>
      <c r="X43"/>
      <c r="Y43"/>
      <c r="Z43"/>
      <c r="AA43"/>
      <c r="AB43"/>
      <c r="AC43"/>
      <c r="AD43"/>
      <c r="AE43"/>
      <c r="AF43"/>
      <c r="AG43"/>
    </row>
    <row r="44" spans="1:33" ht="17.25" thickBot="1">
      <c r="A44" s="140"/>
      <c r="C44" s="156"/>
      <c r="D44" s="156"/>
      <c r="E44" s="156"/>
      <c r="F44" s="156"/>
      <c r="G44" s="71" t="s">
        <v>28</v>
      </c>
      <c r="H44" s="26"/>
      <c r="I44" s="184"/>
      <c r="J44" s="185"/>
      <c r="K44" s="185"/>
      <c r="L44" s="185"/>
      <c r="M44" s="185"/>
      <c r="N44" s="185"/>
      <c r="O44" s="191"/>
      <c r="P44" s="184"/>
      <c r="Q44" s="185"/>
      <c r="R44" s="185"/>
      <c r="S44" s="185"/>
      <c r="T44" s="185"/>
      <c r="U44" s="185"/>
      <c r="V44" s="191"/>
      <c r="W44"/>
      <c r="X44"/>
      <c r="Y44"/>
      <c r="Z44"/>
      <c r="AA44"/>
      <c r="AB44"/>
      <c r="AC44"/>
      <c r="AD44"/>
      <c r="AE44"/>
      <c r="AF44"/>
      <c r="AG44"/>
    </row>
    <row r="45" spans="1:33" ht="17.25" thickBot="1">
      <c r="A45" s="140"/>
      <c r="C45" s="157" t="s">
        <v>29</v>
      </c>
      <c r="D45" s="150"/>
      <c r="E45" s="158">
        <f>(G18+G28+G41)/D49</f>
        <v>0.2047155031393635</v>
      </c>
      <c r="F45" s="150" t="s">
        <v>60</v>
      </c>
      <c r="G45" s="72">
        <f>+G18+G28+G41</f>
        <v>3480.1635533691797</v>
      </c>
      <c r="H45" s="26"/>
      <c r="P45" s="4"/>
      <c r="Q45" s="4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5.75" thickBot="1">
      <c r="A46" s="7"/>
      <c r="B46" s="7"/>
      <c r="C46" s="7"/>
      <c r="D46" s="7"/>
      <c r="E46" s="7"/>
      <c r="F46" s="7"/>
      <c r="G46" s="7"/>
      <c r="H46" s="7"/>
      <c r="P46" s="4"/>
      <c r="Q46" s="4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5.75" thickBot="1">
      <c r="A47" s="73" t="s">
        <v>63</v>
      </c>
      <c r="B47" s="24"/>
      <c r="C47" s="24"/>
      <c r="D47" s="74"/>
      <c r="E47" s="24"/>
      <c r="F47" s="74"/>
      <c r="G47" s="75"/>
      <c r="H47" s="76"/>
      <c r="I47" s="7"/>
      <c r="J47" s="7"/>
      <c r="K47" s="7"/>
      <c r="L47" s="7"/>
      <c r="M47" s="7"/>
      <c r="N47" s="7"/>
      <c r="O47" s="4"/>
      <c r="P47" s="4"/>
      <c r="Q47" s="4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5.75" thickBot="1">
      <c r="A48" s="27"/>
      <c r="B48" s="14"/>
      <c r="C48" s="14"/>
      <c r="D48" s="14"/>
      <c r="E48" s="14"/>
      <c r="F48" s="14"/>
      <c r="G48" s="33"/>
      <c r="H48" s="76"/>
      <c r="I48" s="216" t="s">
        <v>36</v>
      </c>
      <c r="J48" s="77"/>
      <c r="K48" s="78"/>
      <c r="L48" s="8"/>
      <c r="M48" s="77"/>
      <c r="N48" s="79"/>
      <c r="O48" s="4"/>
      <c r="P48" s="4"/>
      <c r="Q48" s="4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5.75" thickBot="1">
      <c r="A49" s="141" t="s">
        <v>26</v>
      </c>
      <c r="B49" s="121"/>
      <c r="C49" s="121"/>
      <c r="D49" s="84">
        <v>17000</v>
      </c>
      <c r="E49" s="14"/>
      <c r="F49" s="14"/>
      <c r="G49" s="33"/>
      <c r="H49" s="22"/>
      <c r="I49" s="123" t="s">
        <v>37</v>
      </c>
      <c r="J49" s="124"/>
      <c r="K49" s="125"/>
      <c r="L49" s="126"/>
      <c r="M49" s="124"/>
      <c r="N49" s="127"/>
      <c r="O49" s="4"/>
      <c r="P49" s="4"/>
      <c r="Q49" s="4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5.75" thickBot="1">
      <c r="A50" s="27"/>
      <c r="B50" s="14"/>
      <c r="C50" s="14"/>
      <c r="D50" s="14" t="s">
        <v>32</v>
      </c>
      <c r="E50" s="14"/>
      <c r="F50" s="14"/>
      <c r="G50" s="33"/>
      <c r="H50" s="22"/>
      <c r="I50" s="80"/>
      <c r="J50" s="81"/>
      <c r="K50" s="82"/>
      <c r="L50" s="9"/>
      <c r="M50" s="81"/>
      <c r="N50" s="83"/>
      <c r="O50" s="4"/>
      <c r="P50" s="4"/>
      <c r="Q50" s="4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5.75" thickBot="1">
      <c r="A51" s="149" t="s">
        <v>106</v>
      </c>
      <c r="B51" s="150"/>
      <c r="C51" s="150"/>
      <c r="D51" s="151"/>
      <c r="E51" s="152"/>
      <c r="F51" s="153"/>
      <c r="G51" s="87">
        <f>(D49*22%)+(D49*0.3%)</f>
        <v>3791</v>
      </c>
      <c r="H51" s="22"/>
      <c r="I51" s="165" t="s">
        <v>38</v>
      </c>
      <c r="J51" s="166"/>
      <c r="K51" s="167"/>
      <c r="L51" s="168"/>
      <c r="M51" s="166"/>
      <c r="N51" s="169"/>
      <c r="O51" s="4"/>
      <c r="P51" s="4"/>
      <c r="Q51" s="4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5.75" thickBot="1">
      <c r="A52" s="85"/>
      <c r="B52" s="86"/>
      <c r="C52" s="86"/>
      <c r="D52" s="85" t="s">
        <v>59</v>
      </c>
      <c r="E52" s="88">
        <f>D49-(D49*50%)</f>
        <v>8500</v>
      </c>
      <c r="F52" s="14"/>
      <c r="G52" s="33"/>
      <c r="H52" s="22"/>
      <c r="I52" s="7"/>
      <c r="J52" s="7"/>
      <c r="K52" s="7"/>
      <c r="L52" s="7"/>
      <c r="M52" s="7"/>
      <c r="N52" s="7"/>
      <c r="O52" s="4"/>
      <c r="P52" s="4"/>
      <c r="Q52" s="4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5.75" thickBot="1">
      <c r="A53" s="89"/>
      <c r="B53" s="66"/>
      <c r="C53" s="66"/>
      <c r="D53" s="66"/>
      <c r="E53" s="66"/>
      <c r="F53" s="66"/>
      <c r="G53" s="90"/>
      <c r="H53" s="22"/>
      <c r="I53" s="7"/>
      <c r="J53" s="7"/>
      <c r="K53" s="7"/>
      <c r="L53" s="7"/>
      <c r="M53" s="7"/>
      <c r="N53" s="7"/>
      <c r="O53" s="4"/>
      <c r="P53" s="4"/>
      <c r="Q53" s="4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5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"/>
      <c r="P54" s="4"/>
      <c r="Q54" s="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"/>
      <c r="P55" s="4"/>
      <c r="Q55" s="4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5" hidden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5.75" hidden="1" thickBot="1">
      <c r="A57" s="7"/>
      <c r="B57" s="7"/>
      <c r="C57" s="7"/>
      <c r="D57" s="7"/>
      <c r="E57" s="7"/>
      <c r="F57" s="7"/>
      <c r="G57" s="7"/>
      <c r="H57" s="7"/>
      <c r="I57" s="15"/>
      <c r="J57" s="16"/>
      <c r="K57" s="16"/>
      <c r="L57" s="16"/>
      <c r="M57" s="16"/>
      <c r="N57" s="1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5">
      <c r="A58" s="7"/>
      <c r="B58" s="22"/>
      <c r="C58" s="22"/>
      <c r="D58" s="22"/>
      <c r="E58" s="22"/>
      <c r="F58" s="22"/>
      <c r="G58" s="22"/>
      <c r="H58" s="7"/>
      <c r="I58" s="7"/>
      <c r="J58" s="7"/>
      <c r="K58" s="7"/>
      <c r="L58" s="7"/>
      <c r="M58" s="7"/>
      <c r="N58" s="7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5">
      <c r="A59" s="7"/>
      <c r="B59" s="22"/>
      <c r="C59" s="22"/>
      <c r="D59" s="22"/>
      <c r="E59" s="22"/>
      <c r="F59" s="22"/>
      <c r="G59" s="22"/>
      <c r="H59" s="7"/>
      <c r="I59" s="7"/>
      <c r="J59" s="7"/>
      <c r="K59" s="7"/>
      <c r="L59" s="7"/>
      <c r="M59" s="7"/>
      <c r="N59" s="7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6.5">
      <c r="A60" s="7"/>
      <c r="B60" s="22"/>
      <c r="C60" s="22"/>
      <c r="D60" s="22"/>
      <c r="E60" s="22"/>
      <c r="F60" s="22"/>
      <c r="G60" s="22"/>
      <c r="H60" s="7"/>
      <c r="I60" s="7"/>
      <c r="J60" s="7"/>
      <c r="K60" s="7"/>
      <c r="L60" s="7"/>
      <c r="M60" s="7"/>
      <c r="N60" s="2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6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2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14" ht="16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6"/>
    </row>
    <row r="63" spans="1:14" ht="16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26"/>
    </row>
    <row r="64" spans="1:14" ht="16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26"/>
    </row>
    <row r="65" spans="1:14" ht="16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26"/>
    </row>
    <row r="66" spans="1:14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9:14" ht="14.25">
      <c r="I68" s="7"/>
      <c r="J68" s="7"/>
      <c r="K68" s="7"/>
      <c r="L68" s="7"/>
      <c r="M68" s="7"/>
      <c r="N68" s="7"/>
    </row>
  </sheetData>
  <sheetProtection/>
  <printOptions/>
  <pageMargins left="0.49" right="0.32" top="0.26" bottom="0.4330708661417323" header="0.5118110236220472" footer="0.5118110236220472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6"/>
  <dimension ref="A1:AI68"/>
  <sheetViews>
    <sheetView showGridLines="0" showRowColHeaders="0" zoomScalePageLayoutView="0" workbookViewId="0" topLeftCell="A7">
      <selection activeCell="P40" sqref="P40"/>
    </sheetView>
  </sheetViews>
  <sheetFormatPr defaultColWidth="11.00390625" defaultRowHeight="14.25"/>
  <cols>
    <col min="1" max="1" width="11.00390625" style="2" customWidth="1"/>
    <col min="2" max="2" width="12.00390625" style="2" bestFit="1" customWidth="1"/>
    <col min="3" max="3" width="11.00390625" style="2" customWidth="1"/>
    <col min="4" max="4" width="12.00390625" style="2" bestFit="1" customWidth="1"/>
    <col min="5" max="5" width="12.625" style="2" bestFit="1" customWidth="1"/>
    <col min="6" max="6" width="8.75390625" style="2" customWidth="1"/>
    <col min="7" max="7" width="13.875" style="2" customWidth="1"/>
    <col min="8" max="8" width="11.00390625" style="2" customWidth="1"/>
    <col min="9" max="9" width="7.50390625" style="2" customWidth="1"/>
    <col min="10" max="16384" width="11.00390625" style="2" customWidth="1"/>
  </cols>
  <sheetData>
    <row r="1" spans="2:18" s="1" customFormat="1" ht="15">
      <c r="B1" s="224" t="s">
        <v>71</v>
      </c>
      <c r="C1" s="225"/>
      <c r="D1" s="225"/>
      <c r="E1" s="225"/>
      <c r="F1" s="226"/>
      <c r="G1" s="227"/>
      <c r="H1" s="7"/>
      <c r="I1" s="142" t="s">
        <v>66</v>
      </c>
      <c r="J1" s="143"/>
      <c r="K1" s="143"/>
      <c r="L1" s="143"/>
      <c r="M1" s="143"/>
      <c r="N1" s="143"/>
      <c r="O1" s="144"/>
      <c r="P1" s="2"/>
      <c r="Q1" s="2"/>
      <c r="R1" s="2"/>
    </row>
    <row r="2" spans="2:18" s="1" customFormat="1" ht="15.75" thickBot="1">
      <c r="B2" s="228" t="s">
        <v>64</v>
      </c>
      <c r="C2" s="229"/>
      <c r="D2" s="229"/>
      <c r="E2" s="230"/>
      <c r="F2" s="231"/>
      <c r="G2" s="232"/>
      <c r="H2" s="7"/>
      <c r="I2" s="145" t="s">
        <v>65</v>
      </c>
      <c r="J2" s="130"/>
      <c r="K2" s="130"/>
      <c r="L2" s="130"/>
      <c r="M2" s="130"/>
      <c r="N2" s="130"/>
      <c r="O2" s="192"/>
      <c r="P2" s="2"/>
      <c r="Q2" s="2"/>
      <c r="R2" s="2"/>
    </row>
    <row r="3" spans="1:15" ht="15" thickBot="1">
      <c r="A3" s="10"/>
      <c r="B3" s="11"/>
      <c r="C3" s="12"/>
      <c r="D3" s="11"/>
      <c r="E3" s="13"/>
      <c r="F3" s="14"/>
      <c r="G3" s="7"/>
      <c r="H3" s="7"/>
      <c r="I3" s="23" t="s">
        <v>45</v>
      </c>
      <c r="J3" s="24"/>
      <c r="K3" s="24"/>
      <c r="L3" s="24"/>
      <c r="M3" s="24"/>
      <c r="N3" s="24"/>
      <c r="O3" s="25"/>
    </row>
    <row r="4" spans="1:15" ht="15" thickBot="1">
      <c r="A4" s="122" t="s">
        <v>1</v>
      </c>
      <c r="B4" s="18">
        <f>D49/2</f>
        <v>8500</v>
      </c>
      <c r="C4" s="7"/>
      <c r="D4" s="50"/>
      <c r="E4" s="211" t="s">
        <v>11</v>
      </c>
      <c r="F4" s="19">
        <v>0</v>
      </c>
      <c r="G4" s="7"/>
      <c r="H4" s="7"/>
      <c r="I4" s="23" t="s">
        <v>39</v>
      </c>
      <c r="J4" s="24"/>
      <c r="K4" s="24"/>
      <c r="L4" s="24"/>
      <c r="M4" s="24"/>
      <c r="N4" s="24"/>
      <c r="O4" s="25"/>
    </row>
    <row r="5" spans="1:14" ht="15" thickBot="1">
      <c r="A5" s="20" t="s">
        <v>33</v>
      </c>
      <c r="B5" s="21"/>
      <c r="C5" s="22"/>
      <c r="D5" s="50"/>
      <c r="E5" s="212" t="s">
        <v>27</v>
      </c>
      <c r="F5" s="91"/>
      <c r="G5" s="7"/>
      <c r="H5" s="7"/>
      <c r="I5" s="7"/>
      <c r="J5" s="7"/>
      <c r="K5" s="7"/>
      <c r="L5" s="7"/>
      <c r="M5" s="7"/>
      <c r="N5" s="7"/>
    </row>
    <row r="6" spans="1:33" ht="15.75" thickBot="1">
      <c r="A6" s="7"/>
      <c r="C6" s="7"/>
      <c r="D6" s="93" t="s">
        <v>2</v>
      </c>
      <c r="E6" s="94"/>
      <c r="F6" s="95">
        <f>B4+F4+F7</f>
        <v>8500</v>
      </c>
      <c r="G6" s="7"/>
      <c r="H6" s="7"/>
      <c r="I6" s="146" t="s">
        <v>40</v>
      </c>
      <c r="J6" s="147"/>
      <c r="K6" s="147"/>
      <c r="L6" s="147"/>
      <c r="M6" s="147"/>
      <c r="N6" s="148"/>
      <c r="O6" s="4"/>
      <c r="P6" s="4"/>
      <c r="Q6" s="4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3:33" ht="17.25" thickBot="1">
      <c r="C7" s="213" t="s">
        <v>46</v>
      </c>
      <c r="D7" s="214"/>
      <c r="E7" s="215"/>
      <c r="F7" s="92">
        <v>0</v>
      </c>
      <c r="G7" s="7"/>
      <c r="H7" s="26"/>
      <c r="I7" s="7"/>
      <c r="J7" s="7"/>
      <c r="K7" s="7"/>
      <c r="L7" s="7"/>
      <c r="M7" s="7"/>
      <c r="N7" s="7"/>
      <c r="O7" s="4"/>
      <c r="P7" s="5"/>
      <c r="Q7" s="4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ht="17.25" hidden="1" thickBot="1">
      <c r="A8" s="7"/>
      <c r="B8" s="7"/>
      <c r="C8" s="7"/>
      <c r="D8" s="7"/>
      <c r="E8" s="7"/>
      <c r="F8" s="7"/>
      <c r="G8" s="7"/>
      <c r="H8" s="26"/>
      <c r="I8" s="26"/>
      <c r="J8" s="26"/>
      <c r="K8" s="26"/>
      <c r="L8" s="26"/>
      <c r="M8" s="26"/>
      <c r="N8" s="26"/>
      <c r="O8" s="4"/>
      <c r="P8" s="4"/>
      <c r="Q8" s="4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7.25" hidden="1" thickBot="1">
      <c r="A9" s="7"/>
      <c r="B9" s="7"/>
      <c r="C9" s="7"/>
      <c r="D9" s="7"/>
      <c r="E9" s="7"/>
      <c r="F9" s="7"/>
      <c r="G9" s="7"/>
      <c r="H9" s="26"/>
      <c r="I9" s="26"/>
      <c r="J9" s="26"/>
      <c r="K9" s="26"/>
      <c r="L9" s="26"/>
      <c r="M9" s="26"/>
      <c r="N9" s="26"/>
      <c r="O9" s="4"/>
      <c r="P9" s="4"/>
      <c r="Q9" s="4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ht="16.5">
      <c r="A10" s="233"/>
      <c r="B10" s="234" t="s">
        <v>72</v>
      </c>
      <c r="C10" s="234"/>
      <c r="D10" s="234"/>
      <c r="E10" s="234"/>
      <c r="F10" s="234"/>
      <c r="G10" s="235"/>
      <c r="H10" s="26"/>
      <c r="I10" s="26"/>
      <c r="J10" s="26"/>
      <c r="K10" s="26"/>
      <c r="L10" s="26"/>
      <c r="M10" s="26"/>
      <c r="N10" s="26"/>
      <c r="O10" s="6"/>
      <c r="P10" s="4"/>
      <c r="Q10" s="4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ht="16.5">
      <c r="A11" s="27"/>
      <c r="B11" s="14"/>
      <c r="C11" s="14"/>
      <c r="D11" s="14"/>
      <c r="E11" s="28" t="s">
        <v>15</v>
      </c>
      <c r="F11" s="29" t="s">
        <v>16</v>
      </c>
      <c r="G11" s="30" t="s">
        <v>0</v>
      </c>
      <c r="H11" s="26"/>
      <c r="I11" s="26"/>
      <c r="J11" s="26"/>
      <c r="K11" s="26"/>
      <c r="L11" s="26"/>
      <c r="M11" s="26"/>
      <c r="N11" s="26"/>
      <c r="O11" s="4"/>
      <c r="P11" s="4"/>
      <c r="Q11" s="4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ht="16.5" hidden="1">
      <c r="A12" s="27"/>
      <c r="B12" s="14"/>
      <c r="C12" s="14"/>
      <c r="D12" s="14"/>
      <c r="E12" s="31" t="b">
        <f>IF(11885,F13&lt;11885)</f>
        <v>1</v>
      </c>
      <c r="F12" s="31" t="s">
        <v>14</v>
      </c>
      <c r="G12" s="32"/>
      <c r="H12" s="26"/>
      <c r="I12" s="26"/>
      <c r="J12" s="26"/>
      <c r="K12" s="26"/>
      <c r="L12" s="26"/>
      <c r="M12" s="26"/>
      <c r="N12" s="26"/>
      <c r="O12" s="4"/>
      <c r="P12" s="4"/>
      <c r="Q12" s="4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ht="0" customHeight="1" hidden="1">
      <c r="A13" s="27"/>
      <c r="B13" s="14"/>
      <c r="C13" s="14"/>
      <c r="D13" s="14"/>
      <c r="E13" s="14"/>
      <c r="F13" s="14"/>
      <c r="G13" s="33"/>
      <c r="H13" s="26"/>
      <c r="I13" s="26"/>
      <c r="J13" s="26"/>
      <c r="K13" s="26"/>
      <c r="L13" s="26"/>
      <c r="M13" s="26"/>
      <c r="N13" s="26"/>
      <c r="O13" s="4"/>
      <c r="P13" s="4"/>
      <c r="Q13" s="4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ht="16.5" hidden="1">
      <c r="A14" s="27"/>
      <c r="B14" s="14"/>
      <c r="C14" s="14"/>
      <c r="D14" s="14"/>
      <c r="E14" s="14" t="b">
        <f>IF(3804,F15&lt;3804)</f>
        <v>1</v>
      </c>
      <c r="F14" s="14" t="s">
        <v>17</v>
      </c>
      <c r="G14" s="33"/>
      <c r="H14" s="26"/>
      <c r="I14" s="26"/>
      <c r="J14" s="26"/>
      <c r="K14" s="26"/>
      <c r="L14" s="26"/>
      <c r="M14" s="26"/>
      <c r="N14" s="26"/>
      <c r="O14" s="4"/>
      <c r="P14" s="4"/>
      <c r="Q14" s="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3" customFormat="1" ht="12" customHeight="1">
      <c r="A15" s="27"/>
      <c r="B15" s="252" t="s">
        <v>20</v>
      </c>
      <c r="C15" s="253"/>
      <c r="D15" s="253"/>
      <c r="E15" s="254">
        <f>B4</f>
        <v>8500</v>
      </c>
      <c r="F15" s="255">
        <v>0.0304</v>
      </c>
      <c r="G15" s="256">
        <f>+E15*F15</f>
        <v>258.4</v>
      </c>
      <c r="H15" s="139" t="s">
        <v>43</v>
      </c>
      <c r="I15" s="131" t="s">
        <v>82</v>
      </c>
      <c r="J15" s="132"/>
      <c r="K15" s="132"/>
      <c r="L15" s="132"/>
      <c r="M15" s="132"/>
      <c r="N15" s="132"/>
      <c r="O15" s="133"/>
      <c r="P15" s="4"/>
      <c r="Q15" s="4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ht="16.5" hidden="1">
      <c r="A16" s="27"/>
      <c r="B16" s="14"/>
      <c r="C16" s="14"/>
      <c r="D16" s="14"/>
      <c r="E16" s="14"/>
      <c r="F16" s="14"/>
      <c r="G16" s="33"/>
      <c r="H16" s="26"/>
      <c r="I16" s="134"/>
      <c r="J16" s="128"/>
      <c r="K16" s="128"/>
      <c r="L16" s="128"/>
      <c r="M16" s="128"/>
      <c r="N16" s="128"/>
      <c r="O16" s="135"/>
      <c r="P16" s="4"/>
      <c r="Q16" s="4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ht="16.5">
      <c r="A17" s="27"/>
      <c r="B17" s="217" t="s">
        <v>95</v>
      </c>
      <c r="C17" s="218"/>
      <c r="D17" s="218"/>
      <c r="E17" s="219" t="s">
        <v>96</v>
      </c>
      <c r="F17" s="222"/>
      <c r="G17" s="220">
        <v>454.94</v>
      </c>
      <c r="H17" s="26"/>
      <c r="I17" s="134"/>
      <c r="J17" s="128"/>
      <c r="K17" s="128"/>
      <c r="L17" s="128"/>
      <c r="M17" s="128"/>
      <c r="N17" s="128"/>
      <c r="O17" s="135"/>
      <c r="P17" s="4"/>
      <c r="Q17" s="4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ht="16.5">
      <c r="A18" s="223">
        <f>IF(15691,F15&lt;=15691)*AND(E32&gt;0)</f>
        <v>1</v>
      </c>
      <c r="B18" s="14"/>
      <c r="C18" s="36"/>
      <c r="D18" s="236" t="s">
        <v>31</v>
      </c>
      <c r="E18" s="237"/>
      <c r="F18" s="238"/>
      <c r="G18" s="239">
        <f>+G15+G17</f>
        <v>713.3399999999999</v>
      </c>
      <c r="H18" s="26"/>
      <c r="I18" s="136"/>
      <c r="J18" s="137"/>
      <c r="K18" s="137"/>
      <c r="L18" s="137"/>
      <c r="M18" s="137"/>
      <c r="N18" s="137"/>
      <c r="O18" s="138"/>
      <c r="P18" s="4"/>
      <c r="Q18" s="4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ht="12" customHeight="1" hidden="1">
      <c r="A19" s="37"/>
      <c r="B19" s="38"/>
      <c r="C19" s="38"/>
      <c r="D19" s="14"/>
      <c r="E19" s="39"/>
      <c r="F19" s="38"/>
      <c r="G19" s="40"/>
      <c r="H19" s="26"/>
      <c r="I19" s="26"/>
      <c r="J19" s="26"/>
      <c r="K19" s="26"/>
      <c r="L19" s="26"/>
      <c r="M19" s="26"/>
      <c r="N19" s="26"/>
      <c r="O19" s="4"/>
      <c r="P19" s="4"/>
      <c r="Q19" s="4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ht="17.25" thickBot="1">
      <c r="A20" s="240"/>
      <c r="B20" s="237"/>
      <c r="C20" s="238" t="s">
        <v>88</v>
      </c>
      <c r="D20" s="241"/>
      <c r="E20" s="237"/>
      <c r="F20" s="241"/>
      <c r="G20" s="242"/>
      <c r="H20" s="26"/>
      <c r="I20" s="26"/>
      <c r="J20" s="26"/>
      <c r="K20" s="26"/>
      <c r="L20" s="26"/>
      <c r="M20" s="26"/>
      <c r="N20" s="26"/>
      <c r="O20" s="4"/>
      <c r="P20" s="4" t="s">
        <v>81</v>
      </c>
      <c r="Q20" s="4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ht="17.25" hidden="1" thickBot="1">
      <c r="A21" s="37"/>
      <c r="B21" s="14"/>
      <c r="C21" s="14"/>
      <c r="D21" s="14"/>
      <c r="E21" s="14"/>
      <c r="F21" s="14"/>
      <c r="G21" s="33"/>
      <c r="H21" s="26"/>
      <c r="I21" s="26"/>
      <c r="J21" s="26"/>
      <c r="K21" s="26"/>
      <c r="L21" s="26"/>
      <c r="M21" s="26"/>
      <c r="N21" s="26"/>
      <c r="O21" s="4"/>
      <c r="P21" s="4"/>
      <c r="Q21" s="4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ht="16.5">
      <c r="A22" s="27"/>
      <c r="B22" s="14"/>
      <c r="C22" s="14"/>
      <c r="D22" s="14"/>
      <c r="E22" s="41" t="s">
        <v>3</v>
      </c>
      <c r="F22" s="42"/>
      <c r="G22" s="43" t="s">
        <v>0</v>
      </c>
      <c r="H22" s="26"/>
      <c r="I22" s="175" t="s">
        <v>51</v>
      </c>
      <c r="J22" s="176"/>
      <c r="K22" s="176"/>
      <c r="L22" s="176"/>
      <c r="M22" s="176"/>
      <c r="N22" s="176"/>
      <c r="O22" s="177"/>
      <c r="P22" s="175" t="s">
        <v>51</v>
      </c>
      <c r="Q22" s="176"/>
      <c r="R22" s="176"/>
      <c r="S22" s="176"/>
      <c r="T22" s="176"/>
      <c r="U22" s="176"/>
      <c r="V22" s="177"/>
      <c r="W22"/>
      <c r="X22"/>
      <c r="Y22"/>
      <c r="Z22"/>
      <c r="AA22"/>
      <c r="AB22"/>
      <c r="AC22"/>
      <c r="AD22"/>
      <c r="AE22"/>
      <c r="AF22"/>
      <c r="AG22"/>
    </row>
    <row r="23" spans="1:33" ht="15" customHeight="1" hidden="1">
      <c r="A23" s="27"/>
      <c r="B23" s="14"/>
      <c r="C23" s="14"/>
      <c r="D23" s="14"/>
      <c r="E23" s="44" t="b">
        <f>IF(4881,F15&lt;4881)</f>
        <v>1</v>
      </c>
      <c r="F23" s="42"/>
      <c r="G23" s="45"/>
      <c r="H23" s="26"/>
      <c r="I23" s="178"/>
      <c r="J23" s="179"/>
      <c r="K23" s="179"/>
      <c r="L23" s="179"/>
      <c r="M23" s="179"/>
      <c r="N23" s="179"/>
      <c r="O23" s="180"/>
      <c r="P23" s="178"/>
      <c r="Q23" s="179"/>
      <c r="R23" s="179"/>
      <c r="S23" s="179"/>
      <c r="T23" s="179"/>
      <c r="U23" s="179"/>
      <c r="V23" s="180"/>
      <c r="W23"/>
      <c r="X23"/>
      <c r="Y23"/>
      <c r="Z23"/>
      <c r="AA23"/>
      <c r="AB23"/>
      <c r="AC23"/>
      <c r="AD23"/>
      <c r="AE23"/>
      <c r="AF23"/>
      <c r="AG23"/>
    </row>
    <row r="24" spans="1:33" ht="16.5">
      <c r="A24" s="46"/>
      <c r="B24" s="14"/>
      <c r="C24" s="14"/>
      <c r="D24" s="263" t="s">
        <v>34</v>
      </c>
      <c r="E24" s="264">
        <f>B4</f>
        <v>8500</v>
      </c>
      <c r="F24" s="265" t="s">
        <v>21</v>
      </c>
      <c r="G24" s="266">
        <f>E24*2.15%</f>
        <v>182.74999999999997</v>
      </c>
      <c r="H24" s="26"/>
      <c r="I24" s="178" t="s">
        <v>100</v>
      </c>
      <c r="J24" s="179"/>
      <c r="K24" s="179"/>
      <c r="L24" s="179"/>
      <c r="M24" s="181">
        <f>G45</f>
        <v>4808.29</v>
      </c>
      <c r="N24" s="179"/>
      <c r="O24" s="180"/>
      <c r="P24" s="178" t="s">
        <v>41</v>
      </c>
      <c r="Q24" s="179"/>
      <c r="R24" s="179"/>
      <c r="S24" s="179"/>
      <c r="T24" s="181">
        <f>+'PROF LIBERALE'!M23</f>
        <v>2617.59355336918</v>
      </c>
      <c r="U24" s="179"/>
      <c r="V24" s="180"/>
      <c r="W24"/>
      <c r="X24"/>
      <c r="Y24"/>
      <c r="Z24"/>
      <c r="AA24"/>
      <c r="AB24"/>
      <c r="AC24"/>
      <c r="AD24"/>
      <c r="AE24"/>
      <c r="AF24"/>
      <c r="AG24"/>
    </row>
    <row r="25" spans="1:33" ht="12.75" customHeight="1">
      <c r="A25" s="27"/>
      <c r="B25" s="96" t="s">
        <v>20</v>
      </c>
      <c r="C25" s="109"/>
      <c r="D25" s="267" t="s">
        <v>22</v>
      </c>
      <c r="E25" s="268">
        <f>B4+E7</f>
        <v>8500</v>
      </c>
      <c r="F25" s="269">
        <f>E7</f>
        <v>0</v>
      </c>
      <c r="G25" s="270">
        <f>E25*8%</f>
        <v>680</v>
      </c>
      <c r="H25" s="26"/>
      <c r="I25" s="178" t="s">
        <v>52</v>
      </c>
      <c r="J25" s="179"/>
      <c r="K25" s="182"/>
      <c r="L25" s="129">
        <f>B4</f>
        <v>8500</v>
      </c>
      <c r="M25" s="182"/>
      <c r="N25" s="179"/>
      <c r="O25" s="180"/>
      <c r="P25" s="178" t="s">
        <v>52</v>
      </c>
      <c r="Q25" s="179"/>
      <c r="R25" s="182"/>
      <c r="S25" s="129">
        <f>+'PROF LIBERALE'!L24</f>
        <v>8500</v>
      </c>
      <c r="T25" s="182"/>
      <c r="U25" s="179"/>
      <c r="V25" s="180"/>
      <c r="W25"/>
      <c r="X25"/>
      <c r="Y25"/>
      <c r="Z25"/>
      <c r="AA25"/>
      <c r="AB25"/>
      <c r="AC25"/>
      <c r="AD25"/>
      <c r="AE25"/>
      <c r="AF25"/>
      <c r="AG25"/>
    </row>
    <row r="26" spans="1:33" ht="18" customHeight="1">
      <c r="A26" s="274" t="s">
        <v>90</v>
      </c>
      <c r="B26" s="121"/>
      <c r="C26" s="121"/>
      <c r="D26" s="271" t="s">
        <v>23</v>
      </c>
      <c r="E26" s="253"/>
      <c r="F26" s="272"/>
      <c r="G26" s="273">
        <f>B4*0.61%</f>
        <v>51.849999999999994</v>
      </c>
      <c r="H26" s="26"/>
      <c r="I26" s="178"/>
      <c r="J26" s="179"/>
      <c r="K26" s="179"/>
      <c r="L26" s="179"/>
      <c r="M26" s="182"/>
      <c r="N26" s="179"/>
      <c r="O26" s="180"/>
      <c r="P26" s="178"/>
      <c r="Q26" s="179"/>
      <c r="R26" s="179"/>
      <c r="S26" s="179"/>
      <c r="T26" s="182"/>
      <c r="U26" s="179"/>
      <c r="V26" s="180"/>
      <c r="W26"/>
      <c r="X26"/>
      <c r="Y26"/>
      <c r="Z26"/>
      <c r="AA26"/>
      <c r="AB26"/>
      <c r="AC26"/>
      <c r="AD26"/>
      <c r="AE26"/>
      <c r="AF26"/>
      <c r="AG26"/>
    </row>
    <row r="27" spans="1:33" ht="12.75" customHeight="1" hidden="1">
      <c r="A27" s="27"/>
      <c r="B27" s="14"/>
      <c r="C27" s="14"/>
      <c r="D27" s="47" t="s">
        <v>6</v>
      </c>
      <c r="E27" s="34"/>
      <c r="F27" s="48"/>
      <c r="G27" s="49">
        <v>49</v>
      </c>
      <c r="H27" s="26"/>
      <c r="I27" s="178" t="s">
        <v>52</v>
      </c>
      <c r="J27" s="179"/>
      <c r="K27" s="179"/>
      <c r="L27" s="183">
        <f>B4</f>
        <v>8500</v>
      </c>
      <c r="M27" s="182"/>
      <c r="N27" s="179"/>
      <c r="O27" s="180"/>
      <c r="P27" s="178" t="s">
        <v>52</v>
      </c>
      <c r="Q27" s="179"/>
      <c r="R27" s="179"/>
      <c r="S27" s="183">
        <f>I5</f>
        <v>0</v>
      </c>
      <c r="T27" s="182"/>
      <c r="U27" s="179"/>
      <c r="V27" s="180"/>
      <c r="W27"/>
      <c r="X27"/>
      <c r="Y27"/>
      <c r="Z27"/>
      <c r="AA27"/>
      <c r="AB27"/>
      <c r="AC27"/>
      <c r="AD27"/>
      <c r="AE27"/>
      <c r="AF27"/>
      <c r="AG27"/>
    </row>
    <row r="28" spans="1:33" ht="16.5">
      <c r="A28" s="27"/>
      <c r="B28" s="14"/>
      <c r="C28" s="14"/>
      <c r="D28" s="243" t="s">
        <v>30</v>
      </c>
      <c r="E28" s="244"/>
      <c r="F28" s="245"/>
      <c r="G28" s="246">
        <f>+G24+G25+G26</f>
        <v>914.6</v>
      </c>
      <c r="H28" s="26"/>
      <c r="I28" s="178"/>
      <c r="J28" s="179"/>
      <c r="K28" s="179"/>
      <c r="L28" s="179"/>
      <c r="M28" s="181"/>
      <c r="N28" s="182"/>
      <c r="O28" s="180"/>
      <c r="P28" s="178" t="s">
        <v>56</v>
      </c>
      <c r="Q28" s="179"/>
      <c r="R28" s="179"/>
      <c r="S28" s="179"/>
      <c r="T28" s="181">
        <f>+'PROF LIBERALE'!M27</f>
        <v>3774</v>
      </c>
      <c r="U28" s="182"/>
      <c r="V28" s="180"/>
      <c r="W28"/>
      <c r="X28"/>
      <c r="Y28"/>
      <c r="Z28"/>
      <c r="AA28"/>
      <c r="AB28"/>
      <c r="AC28"/>
      <c r="AD28"/>
      <c r="AE28"/>
      <c r="AF28"/>
      <c r="AG28"/>
    </row>
    <row r="29" spans="1:33" ht="17.25" thickBot="1">
      <c r="A29" s="240"/>
      <c r="B29" s="237"/>
      <c r="C29" s="238" t="s">
        <v>76</v>
      </c>
      <c r="D29" s="241"/>
      <c r="E29" s="237"/>
      <c r="F29" s="241"/>
      <c r="G29" s="242"/>
      <c r="H29" s="26"/>
      <c r="I29" s="184"/>
      <c r="J29" s="185"/>
      <c r="K29" s="186"/>
      <c r="L29" s="166">
        <f>E52</f>
        <v>0</v>
      </c>
      <c r="M29" s="185"/>
      <c r="N29" s="185"/>
      <c r="O29" s="187"/>
      <c r="P29" s="184" t="s">
        <v>52</v>
      </c>
      <c r="Q29" s="185"/>
      <c r="R29" s="186"/>
      <c r="S29" s="166">
        <f>+'PROF LIBERALE'!L28</f>
        <v>11220</v>
      </c>
      <c r="T29" s="185"/>
      <c r="U29" s="185"/>
      <c r="V29" s="187"/>
      <c r="W29"/>
      <c r="X29"/>
      <c r="Y29"/>
      <c r="Z29"/>
      <c r="AA29"/>
      <c r="AB29"/>
      <c r="AC29"/>
      <c r="AD29"/>
      <c r="AE29"/>
      <c r="AF29"/>
      <c r="AG29"/>
    </row>
    <row r="30" spans="1:33" ht="16.5" hidden="1">
      <c r="A30" s="37"/>
      <c r="B30" s="50"/>
      <c r="C30" s="50"/>
      <c r="D30" s="50"/>
      <c r="E30" s="50"/>
      <c r="F30" s="50"/>
      <c r="G30" s="51"/>
      <c r="H30" s="26"/>
      <c r="I30" s="26"/>
      <c r="J30" s="26"/>
      <c r="K30" s="26"/>
      <c r="L30" s="26"/>
      <c r="M30" s="26"/>
      <c r="N30" s="26"/>
      <c r="O30" s="4"/>
      <c r="P30" s="26"/>
      <c r="Q30" s="26"/>
      <c r="R30" s="26"/>
      <c r="S30" s="26"/>
      <c r="T30" s="26"/>
      <c r="U30" s="26"/>
      <c r="V30" s="4"/>
      <c r="W30"/>
      <c r="X30"/>
      <c r="Y30"/>
      <c r="Z30"/>
      <c r="AA30"/>
      <c r="AB30"/>
      <c r="AC30"/>
      <c r="AD30"/>
      <c r="AE30"/>
      <c r="AF30"/>
      <c r="AG30"/>
    </row>
    <row r="31" spans="1:33" ht="17.25" thickBot="1">
      <c r="A31" s="27"/>
      <c r="B31" s="14"/>
      <c r="C31" s="14"/>
      <c r="D31" s="14"/>
      <c r="E31" s="41" t="s">
        <v>25</v>
      </c>
      <c r="F31" s="221"/>
      <c r="G31" s="43" t="s">
        <v>0</v>
      </c>
      <c r="H31" s="26"/>
      <c r="J31" s="26"/>
      <c r="K31" s="26"/>
      <c r="L31" s="26"/>
      <c r="M31" s="26"/>
      <c r="N31" s="26"/>
      <c r="O31" s="4"/>
      <c r="Q31" s="26"/>
      <c r="R31" s="26"/>
      <c r="S31" s="26"/>
      <c r="T31" s="26"/>
      <c r="U31" s="26"/>
      <c r="V31" s="4"/>
      <c r="W31"/>
      <c r="X31"/>
      <c r="Y31"/>
      <c r="Z31"/>
      <c r="AA31"/>
      <c r="AB31"/>
      <c r="AC31"/>
      <c r="AD31"/>
      <c r="AE31"/>
      <c r="AF31"/>
      <c r="AG31"/>
    </row>
    <row r="32" spans="1:33" ht="16.5">
      <c r="A32" s="115" t="s">
        <v>83</v>
      </c>
      <c r="B32" s="113"/>
      <c r="C32" s="116"/>
      <c r="D32" s="257" t="s">
        <v>84</v>
      </c>
      <c r="E32" s="261">
        <f>F6</f>
        <v>8500</v>
      </c>
      <c r="F32" s="262">
        <v>0.0332</v>
      </c>
      <c r="G32" s="260">
        <f>IF(B4&gt;7808,B4*F32,259)</f>
        <v>282.2</v>
      </c>
      <c r="H32" s="26"/>
      <c r="I32" s="175" t="s">
        <v>53</v>
      </c>
      <c r="J32" s="176"/>
      <c r="K32" s="176"/>
      <c r="L32" s="176"/>
      <c r="M32" s="176"/>
      <c r="N32" s="176"/>
      <c r="O32" s="177"/>
      <c r="P32" s="304" t="s">
        <v>101</v>
      </c>
      <c r="Q32" s="305"/>
      <c r="R32" s="305"/>
      <c r="S32" s="305"/>
      <c r="T32" s="305"/>
      <c r="U32" s="305"/>
      <c r="V32" s="306"/>
      <c r="W32"/>
      <c r="X32"/>
      <c r="Y32"/>
      <c r="Z32"/>
      <c r="AA32"/>
      <c r="AB32"/>
      <c r="AC32"/>
      <c r="AD32"/>
      <c r="AE32"/>
      <c r="AF32"/>
      <c r="AG32"/>
    </row>
    <row r="33" spans="1:33" s="3" customFormat="1" ht="16.5" hidden="1">
      <c r="A33" s="27"/>
      <c r="B33" s="42"/>
      <c r="C33" s="42"/>
      <c r="D33" s="52" t="s">
        <v>13</v>
      </c>
      <c r="E33" s="14"/>
      <c r="F33" s="14"/>
      <c r="G33" s="260">
        <f>IF(E33&gt;7808,E33*F33,259)</f>
        <v>259</v>
      </c>
      <c r="H33" s="26"/>
      <c r="I33" s="178"/>
      <c r="J33" s="179"/>
      <c r="K33" s="179"/>
      <c r="L33" s="179"/>
      <c r="M33" s="179"/>
      <c r="N33" s="179"/>
      <c r="O33" s="180"/>
      <c r="P33" s="307"/>
      <c r="Q33" s="279"/>
      <c r="R33" s="279"/>
      <c r="S33" s="279"/>
      <c r="T33" s="279"/>
      <c r="U33" s="279"/>
      <c r="V33" s="308"/>
      <c r="W33"/>
      <c r="X33"/>
      <c r="Y33"/>
      <c r="Z33"/>
      <c r="AA33"/>
      <c r="AB33"/>
      <c r="AC33"/>
      <c r="AD33"/>
      <c r="AE33"/>
      <c r="AF33"/>
      <c r="AG33"/>
    </row>
    <row r="34" spans="1:33" s="3" customFormat="1" ht="16.5" hidden="1">
      <c r="A34" s="27"/>
      <c r="B34" s="42"/>
      <c r="C34" s="54"/>
      <c r="D34" s="55" t="b">
        <f>IF(E32&gt;44945,TRUE)</f>
        <v>0</v>
      </c>
      <c r="E34" s="56">
        <f>F15</f>
        <v>0.0304</v>
      </c>
      <c r="F34" s="57">
        <f>IF(E32&lt;5792,1,0)</f>
        <v>0</v>
      </c>
      <c r="G34" s="260">
        <f>IF(E34&gt;7808,E34*F34,259)</f>
        <v>259</v>
      </c>
      <c r="H34" s="26"/>
      <c r="I34" s="178"/>
      <c r="J34" s="179"/>
      <c r="K34" s="179"/>
      <c r="L34" s="179"/>
      <c r="M34" s="179"/>
      <c r="N34" s="179"/>
      <c r="O34" s="180"/>
      <c r="P34" s="307"/>
      <c r="Q34" s="279"/>
      <c r="R34" s="279"/>
      <c r="S34" s="279"/>
      <c r="T34" s="279"/>
      <c r="U34" s="279"/>
      <c r="V34" s="308"/>
      <c r="W34"/>
      <c r="X34"/>
      <c r="Y34"/>
      <c r="Z34"/>
      <c r="AA34"/>
      <c r="AB34"/>
      <c r="AC34"/>
      <c r="AD34"/>
      <c r="AE34"/>
      <c r="AF34"/>
      <c r="AG34"/>
    </row>
    <row r="35" spans="1:33" s="3" customFormat="1" ht="16.5" hidden="1">
      <c r="A35" s="27"/>
      <c r="B35" s="42"/>
      <c r="C35" s="54"/>
      <c r="D35" s="59">
        <f>IF(11585,E32&lt;=11585)*AND(E32&gt;5792)</f>
        <v>1</v>
      </c>
      <c r="E35" s="57">
        <f>IF(17377,E32&lt;=17377)*AND(E32&gt;11585)</f>
        <v>0</v>
      </c>
      <c r="F35" s="57">
        <f>IF(23170,E32&lt;=23170)*AND(E32&gt;17377)</f>
        <v>0</v>
      </c>
      <c r="G35" s="260">
        <f>IF(E35&gt;7808,E35*F35,259)</f>
        <v>259</v>
      </c>
      <c r="H35" s="26"/>
      <c r="I35" s="178"/>
      <c r="J35" s="179"/>
      <c r="K35" s="179"/>
      <c r="L35" s="179"/>
      <c r="M35" s="179"/>
      <c r="N35" s="179"/>
      <c r="O35" s="180"/>
      <c r="P35" s="307"/>
      <c r="Q35" s="279"/>
      <c r="R35" s="279"/>
      <c r="S35" s="279"/>
      <c r="T35" s="279"/>
      <c r="U35" s="279"/>
      <c r="V35" s="308"/>
      <c r="W35"/>
      <c r="X35"/>
      <c r="Y35"/>
      <c r="Z35"/>
      <c r="AA35"/>
      <c r="AB35"/>
      <c r="AC35"/>
      <c r="AD35"/>
      <c r="AE35"/>
      <c r="AF35"/>
      <c r="AG35"/>
    </row>
    <row r="36" spans="1:33" s="3" customFormat="1" ht="16.5" hidden="1">
      <c r="A36" s="46" t="s">
        <v>10</v>
      </c>
      <c r="B36" s="42"/>
      <c r="C36" s="42"/>
      <c r="D36" s="52" t="s">
        <v>19</v>
      </c>
      <c r="E36" s="61"/>
      <c r="F36" s="61"/>
      <c r="G36" s="260">
        <f>IF(E36&gt;7808,E36*F36,259)</f>
        <v>259</v>
      </c>
      <c r="H36" s="26"/>
      <c r="I36" s="178"/>
      <c r="J36" s="179"/>
      <c r="K36" s="179"/>
      <c r="L36" s="179"/>
      <c r="M36" s="179"/>
      <c r="N36" s="179"/>
      <c r="O36" s="180"/>
      <c r="P36" s="307"/>
      <c r="Q36" s="279"/>
      <c r="R36" s="279"/>
      <c r="S36" s="279"/>
      <c r="T36" s="279"/>
      <c r="U36" s="279"/>
      <c r="V36" s="308"/>
      <c r="W36"/>
      <c r="X36"/>
      <c r="Y36"/>
      <c r="Z36"/>
      <c r="AA36"/>
      <c r="AB36"/>
      <c r="AC36"/>
      <c r="AD36"/>
      <c r="AE36"/>
      <c r="AF36"/>
      <c r="AG36"/>
    </row>
    <row r="37" spans="1:33" s="3" customFormat="1" ht="16.5">
      <c r="A37" s="115" t="s">
        <v>87</v>
      </c>
      <c r="B37" s="116"/>
      <c r="C37" s="116"/>
      <c r="D37" s="257" t="s">
        <v>85</v>
      </c>
      <c r="E37" s="258">
        <f>E32</f>
        <v>8500</v>
      </c>
      <c r="F37" s="259">
        <v>0.1155</v>
      </c>
      <c r="G37" s="260">
        <f>IF(B4&gt;5856,B4*F37,676)</f>
        <v>981.75</v>
      </c>
      <c r="H37" s="26"/>
      <c r="I37" s="178" t="s">
        <v>54</v>
      </c>
      <c r="J37" s="179"/>
      <c r="K37" s="179"/>
      <c r="L37" s="179"/>
      <c r="M37" s="188">
        <f>G25</f>
        <v>680</v>
      </c>
      <c r="N37" s="179"/>
      <c r="O37" s="180"/>
      <c r="P37" s="307" t="s">
        <v>102</v>
      </c>
      <c r="Q37" s="279"/>
      <c r="R37" s="279"/>
      <c r="S37" s="279"/>
      <c r="T37" s="309"/>
      <c r="U37" s="279"/>
      <c r="V37" s="308"/>
      <c r="W37"/>
      <c r="X37"/>
      <c r="Y37"/>
      <c r="Z37"/>
      <c r="AA37"/>
      <c r="AB37"/>
      <c r="AC37"/>
      <c r="AD37"/>
      <c r="AE37"/>
      <c r="AF37"/>
      <c r="AG37"/>
    </row>
    <row r="38" spans="1:33" ht="16.5">
      <c r="A38" s="115" t="s">
        <v>91</v>
      </c>
      <c r="B38" s="116"/>
      <c r="C38" s="116"/>
      <c r="D38" s="257" t="s">
        <v>86</v>
      </c>
      <c r="E38" s="258">
        <f>E32</f>
        <v>8500</v>
      </c>
      <c r="F38" s="259">
        <v>0.0224</v>
      </c>
      <c r="G38" s="260">
        <f>IF(B4&gt;5856,B4*F38,131)</f>
        <v>190.4</v>
      </c>
      <c r="H38" s="26"/>
      <c r="I38" s="178" t="s">
        <v>55</v>
      </c>
      <c r="J38" s="179"/>
      <c r="K38" s="179"/>
      <c r="L38" s="179"/>
      <c r="M38" s="179"/>
      <c r="N38" s="179"/>
      <c r="O38" s="180"/>
      <c r="P38" s="307" t="s">
        <v>103</v>
      </c>
      <c r="Q38" s="279"/>
      <c r="R38" s="279"/>
      <c r="S38" s="279"/>
      <c r="T38" s="279"/>
      <c r="U38" s="279"/>
      <c r="V38" s="308"/>
      <c r="W38"/>
      <c r="X38"/>
      <c r="Y38"/>
      <c r="Z38"/>
      <c r="AA38"/>
      <c r="AB38"/>
      <c r="AC38"/>
      <c r="AD38"/>
      <c r="AE38"/>
      <c r="AF38"/>
      <c r="AG38"/>
    </row>
    <row r="39" spans="1:33" ht="16.5">
      <c r="A39" s="193" t="s">
        <v>92</v>
      </c>
      <c r="B39" s="128"/>
      <c r="C39" s="128"/>
      <c r="D39" s="257" t="s">
        <v>89</v>
      </c>
      <c r="E39" s="258">
        <f>E38</f>
        <v>8500</v>
      </c>
      <c r="F39" s="259">
        <v>0.008</v>
      </c>
      <c r="G39" s="260">
        <f>IF(B4&gt;4511,B4*F39,36)</f>
        <v>68</v>
      </c>
      <c r="H39" s="26"/>
      <c r="I39" s="178"/>
      <c r="J39" s="179"/>
      <c r="K39" s="179"/>
      <c r="L39" s="179"/>
      <c r="M39" s="179"/>
      <c r="N39" s="179"/>
      <c r="O39" s="189"/>
      <c r="P39" s="307" t="s">
        <v>104</v>
      </c>
      <c r="Q39" s="279"/>
      <c r="R39" s="279"/>
      <c r="S39" s="279"/>
      <c r="T39" s="279"/>
      <c r="U39" s="279"/>
      <c r="V39" s="310"/>
      <c r="W39"/>
      <c r="X39"/>
      <c r="Y39"/>
      <c r="Z39"/>
      <c r="AA39"/>
      <c r="AB39"/>
      <c r="AC39"/>
      <c r="AD39"/>
      <c r="AE39"/>
      <c r="AF39"/>
      <c r="AG39"/>
    </row>
    <row r="40" spans="1:33" ht="16.5">
      <c r="A40" s="275" t="s">
        <v>93</v>
      </c>
      <c r="B40" s="140"/>
      <c r="C40" s="276"/>
      <c r="D40" s="277" t="s">
        <v>94</v>
      </c>
      <c r="E40" s="278">
        <f>+B4</f>
        <v>8500</v>
      </c>
      <c r="F40" s="259">
        <v>0.035</v>
      </c>
      <c r="G40" s="260">
        <f>IF(B4&gt;17763,B5*F40,622)</f>
        <v>622</v>
      </c>
      <c r="H40" s="26"/>
      <c r="I40" s="178"/>
      <c r="J40" s="179"/>
      <c r="K40" s="179"/>
      <c r="L40" s="179"/>
      <c r="M40" s="190"/>
      <c r="N40" s="179"/>
      <c r="O40" s="189"/>
      <c r="P40" s="307"/>
      <c r="Q40" s="279"/>
      <c r="R40" s="279"/>
      <c r="S40" s="279"/>
      <c r="T40" s="311"/>
      <c r="U40" s="279"/>
      <c r="V40" s="310"/>
      <c r="W40"/>
      <c r="X40"/>
      <c r="Y40"/>
      <c r="Z40"/>
      <c r="AA40"/>
      <c r="AB40"/>
      <c r="AC40"/>
      <c r="AD40"/>
      <c r="AE40"/>
      <c r="AF40"/>
      <c r="AG40"/>
    </row>
    <row r="41" spans="1:33" ht="17.25" thickBot="1">
      <c r="A41" s="247"/>
      <c r="B41" s="140"/>
      <c r="C41" s="50"/>
      <c r="D41" s="243" t="s">
        <v>77</v>
      </c>
      <c r="E41" s="250"/>
      <c r="F41" s="251"/>
      <c r="G41" s="248">
        <f>SUM(SUM(G32:G40))</f>
        <v>3180.35</v>
      </c>
      <c r="H41" s="26"/>
      <c r="I41" s="178"/>
      <c r="J41" s="179"/>
      <c r="K41" s="179"/>
      <c r="L41" s="179"/>
      <c r="M41" s="179"/>
      <c r="N41" s="179"/>
      <c r="O41" s="189"/>
      <c r="P41" s="307"/>
      <c r="Q41" s="279"/>
      <c r="R41" s="279"/>
      <c r="S41" s="279"/>
      <c r="T41" s="279"/>
      <c r="U41" s="279"/>
      <c r="V41" s="310"/>
      <c r="W41"/>
      <c r="X41"/>
      <c r="Y41"/>
      <c r="Z41"/>
      <c r="AA41"/>
      <c r="AB41"/>
      <c r="AC41"/>
      <c r="AD41"/>
      <c r="AE41"/>
      <c r="AF41"/>
      <c r="AG41"/>
    </row>
    <row r="42" spans="1:33" ht="17.25" hidden="1" thickBot="1">
      <c r="A42" s="7"/>
      <c r="B42" s="7"/>
      <c r="C42" s="7"/>
      <c r="D42" s="67" t="s">
        <v>18</v>
      </c>
      <c r="E42" s="68"/>
      <c r="F42" s="69"/>
      <c r="G42" s="70" t="e">
        <f>((#REF!*F32)-G37)</f>
        <v>#REF!</v>
      </c>
      <c r="H42" s="26"/>
      <c r="I42" s="178"/>
      <c r="J42" s="179"/>
      <c r="K42" s="179"/>
      <c r="L42" s="179"/>
      <c r="M42" s="179"/>
      <c r="N42" s="179"/>
      <c r="O42" s="189"/>
      <c r="P42" s="307"/>
      <c r="Q42" s="279"/>
      <c r="R42" s="279"/>
      <c r="S42" s="279"/>
      <c r="T42" s="279"/>
      <c r="U42" s="279"/>
      <c r="V42" s="310"/>
      <c r="W42"/>
      <c r="X42"/>
      <c r="Y42"/>
      <c r="Z42"/>
      <c r="AA42"/>
      <c r="AB42"/>
      <c r="AC42"/>
      <c r="AD42"/>
      <c r="AE42"/>
      <c r="AF42"/>
      <c r="AG42"/>
    </row>
    <row r="43" spans="1:33" ht="17.25" hidden="1" thickBot="1">
      <c r="A43" s="7"/>
      <c r="B43" s="7"/>
      <c r="C43" s="7"/>
      <c r="D43" s="7"/>
      <c r="E43" s="7"/>
      <c r="F43" s="7"/>
      <c r="G43" s="7"/>
      <c r="H43" s="26"/>
      <c r="I43" s="178"/>
      <c r="J43" s="179"/>
      <c r="K43" s="179"/>
      <c r="L43" s="179"/>
      <c r="M43" s="179"/>
      <c r="N43" s="179"/>
      <c r="O43" s="189"/>
      <c r="P43" s="307"/>
      <c r="Q43" s="279"/>
      <c r="R43" s="279"/>
      <c r="S43" s="279"/>
      <c r="T43" s="279"/>
      <c r="U43" s="279"/>
      <c r="V43" s="310"/>
      <c r="W43"/>
      <c r="X43"/>
      <c r="Y43"/>
      <c r="Z43"/>
      <c r="AA43"/>
      <c r="AB43"/>
      <c r="AC43"/>
      <c r="AD43"/>
      <c r="AE43"/>
      <c r="AF43"/>
      <c r="AG43"/>
    </row>
    <row r="44" spans="1:33" ht="17.25" thickBot="1">
      <c r="A44" s="140"/>
      <c r="C44" s="156"/>
      <c r="D44" s="156"/>
      <c r="E44" s="156"/>
      <c r="F44" s="156"/>
      <c r="G44" s="71" t="s">
        <v>28</v>
      </c>
      <c r="H44" s="26"/>
      <c r="I44" s="184"/>
      <c r="J44" s="185"/>
      <c r="K44" s="185"/>
      <c r="L44" s="185"/>
      <c r="M44" s="185"/>
      <c r="N44" s="185"/>
      <c r="O44" s="191"/>
      <c r="P44" s="312"/>
      <c r="Q44" s="313"/>
      <c r="R44" s="313"/>
      <c r="S44" s="313"/>
      <c r="T44" s="313"/>
      <c r="U44" s="313"/>
      <c r="V44" s="314"/>
      <c r="W44"/>
      <c r="X44"/>
      <c r="Y44"/>
      <c r="Z44"/>
      <c r="AA44"/>
      <c r="AB44"/>
      <c r="AC44"/>
      <c r="AD44"/>
      <c r="AE44"/>
      <c r="AF44"/>
      <c r="AG44"/>
    </row>
    <row r="45" spans="1:33" ht="17.25" thickBot="1">
      <c r="A45" s="140"/>
      <c r="C45" s="157" t="s">
        <v>29</v>
      </c>
      <c r="D45" s="150"/>
      <c r="E45" s="158">
        <f>(G18+G28+G41)/D49</f>
        <v>0.2828405882352941</v>
      </c>
      <c r="F45" s="150" t="s">
        <v>60</v>
      </c>
      <c r="G45" s="72">
        <f>+G18+G28+G41</f>
        <v>4808.29</v>
      </c>
      <c r="H45" s="26"/>
      <c r="P45" s="4"/>
      <c r="Q45" s="4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5.75" thickBot="1">
      <c r="A46" s="7"/>
      <c r="B46" s="7"/>
      <c r="C46" s="7"/>
      <c r="D46" s="7"/>
      <c r="E46" s="7"/>
      <c r="F46" s="7"/>
      <c r="G46" s="7"/>
      <c r="H46" s="7"/>
      <c r="P46" s="4"/>
      <c r="Q46" s="4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5.75" thickBot="1">
      <c r="A47" s="73" t="s">
        <v>97</v>
      </c>
      <c r="B47" s="24"/>
      <c r="C47" s="24"/>
      <c r="D47" s="74"/>
      <c r="E47" s="24"/>
      <c r="F47" s="74"/>
      <c r="G47" s="75"/>
      <c r="H47" s="76"/>
      <c r="I47" s="7"/>
      <c r="J47" s="7"/>
      <c r="K47" s="7"/>
      <c r="L47" s="7"/>
      <c r="M47" s="7"/>
      <c r="N47" s="7"/>
      <c r="O47" s="4"/>
      <c r="P47" s="4"/>
      <c r="Q47" s="4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5.75" thickBot="1">
      <c r="A48" s="27"/>
      <c r="B48" s="14"/>
      <c r="C48" s="14"/>
      <c r="D48" s="14">
        <v>2017</v>
      </c>
      <c r="E48" s="14">
        <v>2016</v>
      </c>
      <c r="F48" s="14">
        <v>2015</v>
      </c>
      <c r="G48" s="33"/>
      <c r="H48" s="76"/>
      <c r="I48" s="216" t="s">
        <v>36</v>
      </c>
      <c r="J48" s="77"/>
      <c r="K48" s="78"/>
      <c r="L48" s="8"/>
      <c r="M48" s="77"/>
      <c r="N48" s="79"/>
      <c r="O48" s="4"/>
      <c r="P48" s="4"/>
      <c r="Q48" s="4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5.75" thickBot="1">
      <c r="A49" s="141" t="s">
        <v>26</v>
      </c>
      <c r="B49" s="121"/>
      <c r="C49" s="121"/>
      <c r="D49" s="84">
        <v>17000</v>
      </c>
      <c r="E49" s="298">
        <v>15000</v>
      </c>
      <c r="F49" s="299">
        <v>10000</v>
      </c>
      <c r="G49" s="33"/>
      <c r="H49" s="22"/>
      <c r="I49" s="284"/>
      <c r="J49" s="285"/>
      <c r="K49" s="286"/>
      <c r="L49" s="140"/>
      <c r="M49" s="285"/>
      <c r="N49" s="287"/>
      <c r="O49" s="4"/>
      <c r="P49" s="4"/>
      <c r="Q49" s="4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5.75" thickBot="1">
      <c r="A50" s="27"/>
      <c r="B50" s="14"/>
      <c r="C50" s="14"/>
      <c r="D50" s="14" t="s">
        <v>32</v>
      </c>
      <c r="E50" s="14"/>
      <c r="F50" s="14"/>
      <c r="G50" s="33"/>
      <c r="H50" s="22"/>
      <c r="I50" s="284"/>
      <c r="J50" s="285"/>
      <c r="K50" s="286"/>
      <c r="L50" s="140"/>
      <c r="M50" s="285"/>
      <c r="N50" s="287"/>
      <c r="O50" s="4"/>
      <c r="P50" s="4"/>
      <c r="Q50" s="4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5.75" thickBot="1">
      <c r="A51" s="293" t="s">
        <v>98</v>
      </c>
      <c r="B51" s="294"/>
      <c r="C51" s="294"/>
      <c r="D51" s="295"/>
      <c r="E51" s="152"/>
      <c r="F51" s="153"/>
      <c r="G51" s="296">
        <f>((D49+E49+F49)/3)*13%</f>
        <v>1820</v>
      </c>
      <c r="H51" s="22"/>
      <c r="I51" s="288"/>
      <c r="J51" s="289"/>
      <c r="K51" s="290"/>
      <c r="L51" s="291"/>
      <c r="M51" s="289"/>
      <c r="N51" s="292"/>
      <c r="O51" s="4"/>
      <c r="P51" s="4"/>
      <c r="Q51" s="4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5.75" thickBot="1">
      <c r="A52" s="281"/>
      <c r="B52" s="283" t="s">
        <v>99</v>
      </c>
      <c r="C52" s="280"/>
      <c r="D52" s="281"/>
      <c r="E52" s="282"/>
      <c r="F52" s="280"/>
      <c r="G52" s="297"/>
      <c r="H52" s="22"/>
      <c r="I52" s="7"/>
      <c r="J52" s="7"/>
      <c r="K52" s="7"/>
      <c r="L52" s="7"/>
      <c r="M52" s="7"/>
      <c r="N52" s="7"/>
      <c r="O52" s="4"/>
      <c r="P52" s="4"/>
      <c r="Q52" s="4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5.75" thickBot="1">
      <c r="A53" s="89"/>
      <c r="B53" s="66"/>
      <c r="C53" s="66"/>
      <c r="D53" s="66"/>
      <c r="E53" s="66"/>
      <c r="F53" s="66"/>
      <c r="G53" s="90"/>
      <c r="H53" s="22"/>
      <c r="I53" s="7"/>
      <c r="J53" s="7"/>
      <c r="K53" s="7"/>
      <c r="L53" s="7"/>
      <c r="M53" s="7"/>
      <c r="N53" s="7"/>
      <c r="O53" s="4"/>
      <c r="P53" s="4"/>
      <c r="Q53" s="4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5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"/>
      <c r="P54" s="4"/>
      <c r="Q54" s="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"/>
      <c r="P55" s="4"/>
      <c r="Q55" s="4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t="15" hidden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ht="15.75" hidden="1" thickBot="1">
      <c r="A57" s="7"/>
      <c r="B57" s="7"/>
      <c r="C57" s="7"/>
      <c r="D57" s="7"/>
      <c r="E57" s="7"/>
      <c r="F57" s="7"/>
      <c r="G57" s="7"/>
      <c r="H57" s="7"/>
      <c r="I57" s="15"/>
      <c r="J57" s="16"/>
      <c r="K57" s="16"/>
      <c r="L57" s="16"/>
      <c r="M57" s="16"/>
      <c r="N57" s="1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ht="15">
      <c r="A58" s="7"/>
      <c r="B58" s="22"/>
      <c r="C58" s="22"/>
      <c r="D58" s="22"/>
      <c r="E58" s="22"/>
      <c r="F58" s="22"/>
      <c r="G58" s="22"/>
      <c r="H58" s="7"/>
      <c r="I58" s="7"/>
      <c r="J58" s="7"/>
      <c r="K58" s="7"/>
      <c r="L58" s="7"/>
      <c r="M58" s="7"/>
      <c r="N58" s="7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ht="15">
      <c r="A59" s="7"/>
      <c r="B59" s="22"/>
      <c r="C59" s="22"/>
      <c r="D59" s="22"/>
      <c r="E59" s="22"/>
      <c r="F59" s="22"/>
      <c r="G59" s="22"/>
      <c r="H59" s="7"/>
      <c r="I59" s="7"/>
      <c r="J59" s="7"/>
      <c r="K59" s="7"/>
      <c r="L59" s="7"/>
      <c r="M59" s="7"/>
      <c r="N59" s="7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ht="16.5">
      <c r="A60" s="7"/>
      <c r="B60" s="22"/>
      <c r="C60" s="22"/>
      <c r="D60" s="22"/>
      <c r="E60" s="22"/>
      <c r="F60" s="22"/>
      <c r="G60" s="22"/>
      <c r="H60" s="7"/>
      <c r="I60" s="7"/>
      <c r="J60" s="7"/>
      <c r="K60" s="7"/>
      <c r="L60" s="7"/>
      <c r="M60" s="7"/>
      <c r="N60" s="26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ht="16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26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14" ht="16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26"/>
    </row>
    <row r="63" spans="1:14" ht="16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26"/>
    </row>
    <row r="64" spans="1:14" ht="16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26"/>
    </row>
    <row r="65" spans="1:14" ht="16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26"/>
    </row>
    <row r="66" spans="1:14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9:14" ht="14.25">
      <c r="I68" s="7"/>
      <c r="J68" s="7"/>
      <c r="K68" s="7"/>
      <c r="L68" s="7"/>
      <c r="M68" s="7"/>
      <c r="N68" s="7"/>
    </row>
  </sheetData>
  <sheetProtection/>
  <printOptions/>
  <pageMargins left="0.49" right="0.32" top="0.26" bottom="0.4330708661417323" header="0.5118110236220472" footer="0.511811023622047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NOIRET</dc:creator>
  <cp:keywords/>
  <dc:description/>
  <cp:lastModifiedBy>Serveur</cp:lastModifiedBy>
  <cp:lastPrinted>2013-01-29T06:54:39Z</cp:lastPrinted>
  <dcterms:created xsi:type="dcterms:W3CDTF">2000-02-22T09:09:10Z</dcterms:created>
  <dcterms:modified xsi:type="dcterms:W3CDTF">2018-01-15T07:40:50Z</dcterms:modified>
  <cp:category/>
  <cp:version/>
  <cp:contentType/>
  <cp:contentStatus/>
</cp:coreProperties>
</file>